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firstSheet="3" activeTab="8"/>
  </bookViews>
  <sheets>
    <sheet name="qtrpl1" sheetId="1" r:id="rId1"/>
    <sheet name="qtrpl2" sheetId="2" r:id="rId2"/>
    <sheet name="qtrbs" sheetId="3" r:id="rId3"/>
    <sheet name="borrow" sheetId="4" r:id="rId4"/>
    <sheet name="ADJ" sheetId="5" r:id="rId5"/>
    <sheet name="other" sheetId="6" r:id="rId6"/>
    <sheet name="PL4-6" sheetId="7" r:id="rId7"/>
    <sheet name="PL1-6" sheetId="8" r:id="rId8"/>
    <sheet name="BS6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<sst xmlns="http://schemas.openxmlformats.org/spreadsheetml/2006/main" count="395" uniqueCount="289">
  <si>
    <t>KENMARK INDUSTRIAL CO (M) BHD (173964-V)</t>
  </si>
  <si>
    <t>QUARTERLY REPORT</t>
  </si>
  <si>
    <t>Submitting Merchant Bank              :</t>
  </si>
  <si>
    <t>Submitting Secretarial Firm Name   :</t>
  </si>
  <si>
    <t>Signet &amp; Co. S/B</t>
  </si>
  <si>
    <t xml:space="preserve">Company name                                  : </t>
  </si>
  <si>
    <t>Kenmark Industrial Co. (M) Bhd.</t>
  </si>
  <si>
    <t>Stock name                                         :</t>
  </si>
  <si>
    <t>Kenmark</t>
  </si>
  <si>
    <t>Stock code                                          :</t>
  </si>
  <si>
    <t>7030</t>
  </si>
  <si>
    <t>Contact person                                  :</t>
  </si>
  <si>
    <t>Designation                                        :</t>
  </si>
  <si>
    <t>Financial Year End                           :</t>
  </si>
  <si>
    <t>Quarter                                               :</t>
  </si>
  <si>
    <t xml:space="preserve">                          The figures have not been audited.</t>
  </si>
  <si>
    <t>CONSOLIDATED INCOME STATEMENT</t>
  </si>
  <si>
    <t xml:space="preserve">               INDIVIDUAL QUARTER</t>
  </si>
  <si>
    <t xml:space="preserve">           CUMULATIVE QUARTER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</si>
  <si>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</si>
  <si>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</si>
  <si>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</si>
  <si>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</si>
  <si>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</si>
  <si>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</si>
  <si>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</si>
  <si>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</si>
  <si>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 '000</t>
  </si>
  <si>
    <t>1(a)</t>
  </si>
  <si>
    <t xml:space="preserve">  (b)</t>
  </si>
  <si>
    <t>Investment income</t>
  </si>
  <si>
    <t xml:space="preserve">  (c)</t>
  </si>
  <si>
    <t>2 (a)</t>
  </si>
  <si>
    <t>extraordinary items</t>
  </si>
  <si>
    <t xml:space="preserve">   (b)</t>
  </si>
  <si>
    <t xml:space="preserve">   (c)</t>
  </si>
  <si>
    <t>Depreciation and amortisation</t>
  </si>
  <si>
    <t xml:space="preserve">   (d)</t>
  </si>
  <si>
    <t>Exceptional items</t>
  </si>
  <si>
    <t xml:space="preserve">   (e)</t>
  </si>
  <si>
    <t xml:space="preserve">   (f)</t>
  </si>
  <si>
    <t xml:space="preserve">   (g)</t>
  </si>
  <si>
    <t>minority interests and</t>
  </si>
  <si>
    <t>CONSOLIDTED INCOME STATEMENT</t>
  </si>
  <si>
    <t xml:space="preserve">   (h)</t>
  </si>
  <si>
    <t xml:space="preserve">    (i)</t>
  </si>
  <si>
    <t xml:space="preserve">      before deducting minority</t>
  </si>
  <si>
    <t xml:space="preserve">      interest</t>
  </si>
  <si>
    <t>(ii) Less minority interests</t>
  </si>
  <si>
    <t xml:space="preserve">    (j)</t>
  </si>
  <si>
    <t>(i)    Extraordinary items</t>
  </si>
  <si>
    <t>(ii)   Less minority interests</t>
  </si>
  <si>
    <t xml:space="preserve">(iii)  Extraordinary items </t>
  </si>
  <si>
    <t xml:space="preserve">       attributable to members </t>
  </si>
  <si>
    <t xml:space="preserve">       of the company</t>
  </si>
  <si>
    <t>Earnings per share based on</t>
  </si>
  <si>
    <t>any provision for preference</t>
  </si>
  <si>
    <t>dividends, if any : -</t>
  </si>
  <si>
    <t xml:space="preserve">    ordinary shares) (sen)</t>
  </si>
  <si>
    <t>CONSOLIDATED BALANCE SHEET</t>
  </si>
  <si>
    <t>AS AT END OF</t>
  </si>
  <si>
    <t>AS AT PRECEDING</t>
  </si>
  <si>
    <t>FINANCIAL</t>
  </si>
  <si>
    <t>YEAR END</t>
  </si>
  <si>
    <t>Current Liabilities</t>
  </si>
  <si>
    <t>Net Current Assets or Currents Liabilities</t>
  </si>
  <si>
    <t>Shareholders' Funds</t>
  </si>
  <si>
    <t>Share Capital</t>
  </si>
  <si>
    <t>Reserves</t>
  </si>
  <si>
    <t xml:space="preserve">           Share Premium</t>
  </si>
  <si>
    <t xml:space="preserve">           Revaluation Reserve</t>
  </si>
  <si>
    <t xml:space="preserve">           Capital Reserve</t>
  </si>
  <si>
    <t xml:space="preserve">           Statutory Reserve</t>
  </si>
  <si>
    <t xml:space="preserve">           Retained Profit</t>
  </si>
  <si>
    <t xml:space="preserve">           Others</t>
  </si>
  <si>
    <t>Minority Interests</t>
  </si>
  <si>
    <t>Long Term Borrowings</t>
  </si>
  <si>
    <t>KICM</t>
  </si>
  <si>
    <t>KMP</t>
  </si>
  <si>
    <t>SECURED</t>
  </si>
  <si>
    <t>UNSECURED</t>
  </si>
  <si>
    <t>TOTAL</t>
  </si>
  <si>
    <t>TERM LOAN - AMBB</t>
  </si>
  <si>
    <t>GROUP</t>
  </si>
  <si>
    <t>Pre-acquisition profit</t>
  </si>
  <si>
    <t>Permanent Adjustment</t>
  </si>
  <si>
    <t>Kenmark Industrial Co. (M) Bhd (173964-V)</t>
  </si>
  <si>
    <t>P1</t>
  </si>
  <si>
    <t>Revaluation Surplus</t>
  </si>
  <si>
    <t>B/S</t>
  </si>
  <si>
    <t>P/L</t>
  </si>
  <si>
    <t>Dr.</t>
  </si>
  <si>
    <t>Cr.</t>
  </si>
  <si>
    <t>Share Capital</t>
  </si>
  <si>
    <t>Invesment in Subsidiaries</t>
  </si>
  <si>
    <t>Reserves in Consolidation</t>
  </si>
  <si>
    <t>P2</t>
  </si>
  <si>
    <t>Leasehold land</t>
  </si>
  <si>
    <t>(Being elimination of investment in subsidiaries)</t>
  </si>
  <si>
    <t>P3</t>
  </si>
  <si>
    <t>(Being revalution of leasehold land - Kenmark Paper)</t>
  </si>
  <si>
    <t>Depreciation - current year</t>
  </si>
  <si>
    <t>b/f</t>
  </si>
  <si>
    <t>Accum. Depreciation</t>
  </si>
  <si>
    <t>(Being depreciation of amount of leasehold land -RM3,839,666 - spread into 21 years</t>
  </si>
  <si>
    <t xml:space="preserve"> which is consistent with the Group policy)</t>
  </si>
  <si>
    <t>C1</t>
  </si>
  <si>
    <t>Rental expense - Holding co.</t>
  </si>
  <si>
    <t>(Being elimination of rental charged to holding co for factory and warehouse -</t>
  </si>
  <si>
    <t>C2</t>
  </si>
  <si>
    <t>COS - Holding co.</t>
  </si>
  <si>
    <t>(Being elimination of sales from Paper to holding co.)</t>
  </si>
  <si>
    <t>C3</t>
  </si>
  <si>
    <t>Amount due to holding co.</t>
  </si>
  <si>
    <t>- Paper</t>
  </si>
  <si>
    <t>- Moulding</t>
  </si>
  <si>
    <t>Amount due from subsidiaries</t>
  </si>
  <si>
    <t>(Being elimination of inter - company balances)</t>
  </si>
  <si>
    <t>BOND</t>
  </si>
  <si>
    <t>Revenue</t>
  </si>
  <si>
    <t>Other income</t>
  </si>
  <si>
    <t>Profit/(loss) before finance cost,</t>
  </si>
  <si>
    <t>depreciation and amortisation,</t>
  </si>
  <si>
    <t>exceptional items, income tax,</t>
  </si>
  <si>
    <t xml:space="preserve">minority interest and </t>
  </si>
  <si>
    <t>Finance cost</t>
  </si>
  <si>
    <t xml:space="preserve">Profit/(loss) before income tax, </t>
  </si>
  <si>
    <t xml:space="preserve">minority interests and </t>
  </si>
  <si>
    <t>extraordinary items.</t>
  </si>
  <si>
    <t>Share of profits and losses of</t>
  </si>
  <si>
    <t>associated companies</t>
  </si>
  <si>
    <t>Profit/(loss) before income tax,</t>
  </si>
  <si>
    <t>Income tax</t>
  </si>
  <si>
    <t>(i)  Profit/(loss) after income tax</t>
  </si>
  <si>
    <t>Net profit/(loss) from ordinary</t>
  </si>
  <si>
    <t>activities attributable to members</t>
  </si>
  <si>
    <t>of the company</t>
  </si>
  <si>
    <t>Pre-acquisition profit/(loss), if</t>
  </si>
  <si>
    <t>applicable</t>
  </si>
  <si>
    <t>(k)</t>
  </si>
  <si>
    <t>(l)</t>
  </si>
  <si>
    <t>(m)</t>
  </si>
  <si>
    <t>Net profit/(loss) attributable</t>
  </si>
  <si>
    <t>to members of the company</t>
  </si>
  <si>
    <t>2 (m) above after deducting</t>
  </si>
  <si>
    <t>BRIDGING LOAN - RHB</t>
  </si>
  <si>
    <t>OBB - BA</t>
  </si>
  <si>
    <t>Sales - Kenmark Moulding</t>
  </si>
  <si>
    <t>Sales - Kenmark Paper</t>
  </si>
  <si>
    <t>CURRENT YEAR ADJUSTMENT</t>
  </si>
  <si>
    <t>Rental income - Kenmark Moulding</t>
  </si>
  <si>
    <t>Rental income - Kenmark Paper</t>
  </si>
  <si>
    <t>RM</t>
  </si>
  <si>
    <t>DEPOSIT</t>
  </si>
  <si>
    <t>PREPAYMENT</t>
  </si>
  <si>
    <t>INTEREST PREPAID</t>
  </si>
  <si>
    <t>INSURANCE PREPAID</t>
  </si>
  <si>
    <t>ADVANCE TO EMPLOYEE</t>
  </si>
  <si>
    <t>SUNDRY CREDITORS</t>
  </si>
  <si>
    <t>ACCRUED CHARGES</t>
  </si>
  <si>
    <t>SALARY PAYABLE</t>
  </si>
  <si>
    <t>EPF PAYABLE</t>
  </si>
  <si>
    <t>SOCSO PAYABLE</t>
  </si>
  <si>
    <t>INCOME TAX PAYABLE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</si>
  <si>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</si>
  <si>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</si>
  <si>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</si>
  <si>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</si>
  <si>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</si>
  <si>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</si>
  <si>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</si>
  <si>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</si>
  <si>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</si>
  <si>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</si>
  <si>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</si>
  <si>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</si>
  <si>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- Others - provide details</t>
  </si>
  <si>
    <t>- Trade payables</t>
  </si>
  <si>
    <t>- Other payables</t>
  </si>
  <si>
    <t>- Short term borrowings</t>
  </si>
  <si>
    <t>- Provision for taxation</t>
  </si>
  <si>
    <t>Other Long Term Liabilities (taxation)</t>
  </si>
  <si>
    <t>Deferred taxation</t>
  </si>
  <si>
    <t>Net tangible assets per share (RM)</t>
  </si>
  <si>
    <t>Kenmark Industrial Co (M) Bhd (173964-V)</t>
  </si>
  <si>
    <t>other</t>
  </si>
  <si>
    <t>Subscription share</t>
  </si>
  <si>
    <t xml:space="preserve">Current Liability </t>
  </si>
  <si>
    <t>(i)  Basis (based on  156,000,000</t>
  </si>
  <si>
    <t>Other Payable as at 30/9/2001</t>
  </si>
  <si>
    <t>SHORT TERM</t>
  </si>
  <si>
    <t xml:space="preserve">OBB- R/C </t>
  </si>
  <si>
    <t>OBB- TR</t>
  </si>
  <si>
    <t>MIMB- R/C RM15M</t>
  </si>
  <si>
    <t>RHB - R/C RM5M</t>
  </si>
  <si>
    <t>OD OBB BANK</t>
  </si>
  <si>
    <t>BILLS PAYABLE</t>
  </si>
  <si>
    <t>H/P CREDITOR</t>
  </si>
  <si>
    <t>LONG TERM</t>
  </si>
  <si>
    <t>TERM LOAN - BANK INDSUTRI</t>
  </si>
  <si>
    <t>31/12/2001</t>
  </si>
  <si>
    <t>BONUS PAYABLE</t>
  </si>
  <si>
    <t>BANK INDUSTRI</t>
  </si>
  <si>
    <t>As at January 2002</t>
  </si>
  <si>
    <t>2nd qtr</t>
  </si>
  <si>
    <t xml:space="preserve">                          Quarterly report on consolidated results for the second quarter ended 30/06/2002</t>
  </si>
  <si>
    <t>30/06/2002</t>
  </si>
  <si>
    <t>30/06/2001</t>
  </si>
  <si>
    <t>BORROWING AS AT 30/06/2002</t>
  </si>
  <si>
    <t>Consolidation Adjustments @ 30/06/2002</t>
  </si>
  <si>
    <t>Current assets (others) as at 30/06/2002</t>
  </si>
  <si>
    <t xml:space="preserve">  RM432K &amp; RM60K per annum)</t>
  </si>
  <si>
    <t>KENMARK INDUSTRIAL CO (M) BHD (274963-V)</t>
  </si>
  <si>
    <t>CONSOLIDATED PROFIT AND LOSS FROM APR'02-JUN'-02</t>
  </si>
  <si>
    <t>KENMARK</t>
  </si>
  <si>
    <t>KENMARK IND.</t>
  </si>
  <si>
    <t>KENMARK PAPER</t>
  </si>
  <si>
    <t>MOULDING</t>
  </si>
  <si>
    <t xml:space="preserve">TOTAL </t>
  </si>
  <si>
    <t>Consolidation</t>
  </si>
  <si>
    <t>Adjustment</t>
  </si>
  <si>
    <t>KENMARK GROUP</t>
  </si>
  <si>
    <t>Dt.</t>
  </si>
  <si>
    <t>Kt.</t>
  </si>
  <si>
    <t>(RM)</t>
  </si>
  <si>
    <t>SALES</t>
  </si>
  <si>
    <t>COST OF SALES</t>
  </si>
  <si>
    <t>OPENING STOCK OF FINISHED GOODS</t>
  </si>
  <si>
    <t>TRANSFER FROM PRODUCTION</t>
  </si>
  <si>
    <t>CLOSING STOCK OF FINISHED GOODS</t>
  </si>
  <si>
    <t>GROSS PROFIT / (LOSS)</t>
  </si>
  <si>
    <t>BANK CHARGES</t>
  </si>
  <si>
    <t>ADMINISTRATION OVERHEADS</t>
  </si>
  <si>
    <t>SELLING &amp; DISTRUBUTION OVERHEADS</t>
  </si>
  <si>
    <t>OTHER REVENUE</t>
  </si>
  <si>
    <t>DEPRECIATION &amp; AMORTISATION</t>
  </si>
  <si>
    <t>TOTAL GROSS PROFIT / (LOSS)</t>
  </si>
  <si>
    <t>FINANCING CHARGES</t>
  </si>
  <si>
    <t>NET PROFIT / (LOSS) AFTER FINANCIAL CHARGES</t>
  </si>
  <si>
    <t>TAXATION</t>
  </si>
  <si>
    <t>TOTAL PROFIT/(LOSS) AFTER DIVIDEND</t>
  </si>
  <si>
    <t>DIVIDEND</t>
  </si>
  <si>
    <t>PROFIT / (LOSSES) B/F</t>
  </si>
  <si>
    <t>PROFIT / (LOSSES) C/F</t>
  </si>
  <si>
    <t>CONSOLIDATED PROFIT AND LOSS FROM JAN-JUN'02</t>
  </si>
  <si>
    <t>CONSOLIDATED BALANCE SHEET AS AT 30/06/2002</t>
  </si>
  <si>
    <t>KENMARK LABUAN</t>
  </si>
  <si>
    <t>PHOENIX INT.</t>
  </si>
  <si>
    <t>KM-MOULDING</t>
  </si>
  <si>
    <t xml:space="preserve">        Consolidation Adjustment</t>
  </si>
  <si>
    <t>GROUP TOTAL</t>
  </si>
  <si>
    <t>RM</t>
  </si>
  <si>
    <t>DR.</t>
  </si>
  <si>
    <t>CR.</t>
  </si>
  <si>
    <t>FIXED ASSETS</t>
  </si>
  <si>
    <t>P2</t>
  </si>
  <si>
    <t>P3</t>
  </si>
  <si>
    <t>DEFERRED EXPENDITURE</t>
  </si>
  <si>
    <t>INVESTMENT IN SUBSIDIARY</t>
  </si>
  <si>
    <t>P1</t>
  </si>
  <si>
    <t>CURRENT ASSETS</t>
  </si>
  <si>
    <t>STOCK</t>
  </si>
  <si>
    <t>TRADE DEBTORS</t>
  </si>
  <si>
    <t>OTHER DEBTORS</t>
  </si>
  <si>
    <t>AMOUNT DUE FROM SUBSIDIARY</t>
  </si>
  <si>
    <t>C3</t>
  </si>
  <si>
    <t>DEPOSITS WITH LICENSED FINANCIAL</t>
  </si>
  <si>
    <t>INSTITUTIONS</t>
  </si>
  <si>
    <t>CASH &amp; BANK BALANCES</t>
  </si>
  <si>
    <t>CURRENT LIABILITIES</t>
  </si>
  <si>
    <t>TRADE CREDITORS</t>
  </si>
  <si>
    <t>OTHER CREDITORS</t>
  </si>
  <si>
    <t>DIVIDEND PAYABLE</t>
  </si>
  <si>
    <t>HIRE PURCHASE CREDITOR</t>
  </si>
  <si>
    <t xml:space="preserve">BILLS PAYABLE </t>
  </si>
  <si>
    <t>BORROWINGS</t>
  </si>
  <si>
    <t>LOAN FROM HOLDING COMPANY</t>
  </si>
  <si>
    <t>AMOUNT DUE TO HOLDING COMPANY</t>
  </si>
  <si>
    <t>NET CURRENT ASSETS/(LIABILITIES)</t>
  </si>
  <si>
    <t xml:space="preserve">FINANCED BY : </t>
  </si>
  <si>
    <t xml:space="preserve">SHARE CAPITAL </t>
  </si>
  <si>
    <t>SHARE PREMIUM</t>
  </si>
  <si>
    <t xml:space="preserve">RESERVE ON CONSOLIDATION </t>
  </si>
  <si>
    <t>RETAINED EARNINGS</t>
  </si>
  <si>
    <t>SHAREHOLDER FUND</t>
  </si>
  <si>
    <t>LONG TERM BORROWING</t>
  </si>
  <si>
    <t>TAXATION - DEFFERED</t>
  </si>
  <si>
    <t>(ii) Fully diluted</t>
  </si>
  <si>
    <t>- Dividend payable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</si>
</sst>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  <numFmt numFmtId="179" formatCode="_(* #,##0.0000_);_(* \(#,##0.0000\);_(* &quot;-&quot;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_);_(@_)"/>
    <numFmt numFmtId="184" formatCode="_-* #,##0.0_-;\-* #,##0.0_-;_-* &quot;-&quot;??_-;_-@_-"/>
    <numFmt numFmtId="185" formatCode="_-* #,##0_-;\-* #,##0_-;_-* &quot;-&quot;??_-;_-@_-"/>
    <numFmt numFmtId="186" formatCode="#,##0;[Red]#,##0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1" fontId="0" fillId="0" borderId="0" xfId="16" applyAlignment="1">
      <alignment/>
    </xf>
    <xf numFmtId="0" fontId="0" fillId="0" borderId="0" xfId="0" applyAlignment="1" quotePrefix="1">
      <alignment horizontal="left"/>
    </xf>
    <xf numFmtId="41" fontId="0" fillId="0" borderId="0" xfId="16" applyFont="1" applyAlignment="1">
      <alignment/>
    </xf>
    <xf numFmtId="41" fontId="0" fillId="0" borderId="0" xfId="16" applyFont="1" applyAlignment="1" quotePrefix="1">
      <alignment horizontal="left"/>
    </xf>
    <xf numFmtId="0" fontId="4" fillId="0" borderId="0" xfId="0" applyFont="1" applyAlignment="1">
      <alignment/>
    </xf>
    <xf numFmtId="41" fontId="4" fillId="0" borderId="0" xfId="16" applyFont="1" applyAlignment="1" quotePrefix="1">
      <alignment horizontal="left"/>
    </xf>
    <xf numFmtId="41" fontId="4" fillId="0" borderId="0" xfId="16" applyFont="1" applyAlignment="1">
      <alignment/>
    </xf>
    <xf numFmtId="41" fontId="4" fillId="0" borderId="0" xfId="16" applyFont="1" applyAlignment="1">
      <alignment horizontal="center"/>
    </xf>
    <xf numFmtId="41" fontId="4" fillId="0" borderId="0" xfId="16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1" fontId="0" fillId="0" borderId="0" xfId="16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7" fillId="0" borderId="0" xfId="16" applyFont="1" applyAlignment="1" quotePrefix="1">
      <alignment horizontal="left"/>
    </xf>
    <xf numFmtId="41" fontId="7" fillId="0" borderId="0" xfId="16" applyFont="1" applyAlignment="1">
      <alignment horizontal="center"/>
    </xf>
    <xf numFmtId="41" fontId="7" fillId="0" borderId="0" xfId="16" applyFont="1" applyAlignment="1">
      <alignment/>
    </xf>
    <xf numFmtId="41" fontId="7" fillId="0" borderId="0" xfId="16" applyFont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77" fontId="4" fillId="0" borderId="0" xfId="16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/>
    </xf>
    <xf numFmtId="43" fontId="0" fillId="0" borderId="0" xfId="15" applyFont="1" applyAlignment="1">
      <alignment horizontal="center"/>
    </xf>
    <xf numFmtId="43" fontId="10" fillId="0" borderId="0" xfId="15" applyFont="1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/>
    </xf>
    <xf numFmtId="0" fontId="0" fillId="0" borderId="0" xfId="0" applyAlignment="1" quotePrefix="1">
      <alignment/>
    </xf>
    <xf numFmtId="41" fontId="0" fillId="0" borderId="0" xfId="16" applyFont="1" applyAlignment="1">
      <alignment horizontal="left"/>
    </xf>
    <xf numFmtId="0" fontId="13" fillId="0" borderId="0" xfId="0" applyFont="1" applyAlignment="1">
      <alignment/>
    </xf>
    <xf numFmtId="177" fontId="14" fillId="0" borderId="0" xfId="16" applyNumberFormat="1" applyFont="1" applyAlignment="1">
      <alignment horizontal="center"/>
    </xf>
    <xf numFmtId="177" fontId="4" fillId="0" borderId="1" xfId="16" applyNumberFormat="1" applyFont="1" applyBorder="1" applyAlignment="1">
      <alignment/>
    </xf>
    <xf numFmtId="177" fontId="0" fillId="0" borderId="0" xfId="16" applyNumberFormat="1" applyAlignment="1">
      <alignment/>
    </xf>
    <xf numFmtId="43" fontId="4" fillId="0" borderId="0" xfId="15" applyFont="1" applyAlignment="1">
      <alignment/>
    </xf>
    <xf numFmtId="43" fontId="4" fillId="0" borderId="1" xfId="15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41" fontId="4" fillId="0" borderId="1" xfId="16" applyFont="1" applyBorder="1" applyAlignment="1">
      <alignment/>
    </xf>
    <xf numFmtId="41" fontId="4" fillId="0" borderId="0" xfId="16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1" fontId="4" fillId="0" borderId="3" xfId="16" applyFont="1" applyBorder="1" applyAlignment="1">
      <alignment/>
    </xf>
    <xf numFmtId="41" fontId="4" fillId="0" borderId="4" xfId="16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1" fontId="4" fillId="0" borderId="6" xfId="16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41" fontId="4" fillId="0" borderId="8" xfId="16" applyFont="1" applyBorder="1" applyAlignment="1">
      <alignment/>
    </xf>
    <xf numFmtId="41" fontId="4" fillId="0" borderId="9" xfId="16" applyFont="1" applyBorder="1" applyAlignment="1">
      <alignment/>
    </xf>
    <xf numFmtId="177" fontId="4" fillId="0" borderId="0" xfId="0" applyNumberFormat="1" applyFont="1" applyAlignment="1">
      <alignment/>
    </xf>
    <xf numFmtId="43" fontId="4" fillId="0" borderId="10" xfId="15" applyFont="1" applyBorder="1" applyAlignment="1">
      <alignment/>
    </xf>
    <xf numFmtId="43" fontId="0" fillId="0" borderId="0" xfId="15" applyAlignment="1">
      <alignment horizontal="center"/>
    </xf>
    <xf numFmtId="43" fontId="0" fillId="0" borderId="1" xfId="15" applyBorder="1" applyAlignment="1">
      <alignment horizontal="center"/>
    </xf>
    <xf numFmtId="43" fontId="0" fillId="0" borderId="10" xfId="15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5" fillId="0" borderId="0" xfId="0" applyFont="1" applyAlignment="1">
      <alignment horizontal="center"/>
    </xf>
    <xf numFmtId="177" fontId="15" fillId="0" borderId="0" xfId="16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7" fontId="6" fillId="0" borderId="0" xfId="16" applyNumberFormat="1" applyFont="1" applyAlignment="1" quotePrefix="1">
      <alignment horizontal="center"/>
    </xf>
    <xf numFmtId="183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0" fontId="16" fillId="0" borderId="0" xfId="0" applyFont="1" applyBorder="1" applyAlignment="1">
      <alignment/>
    </xf>
    <xf numFmtId="43" fontId="4" fillId="0" borderId="8" xfId="15" applyNumberFormat="1" applyFont="1" applyBorder="1" applyAlignment="1">
      <alignment/>
    </xf>
    <xf numFmtId="177" fontId="4" fillId="0" borderId="8" xfId="16" applyNumberFormat="1" applyFont="1" applyBorder="1" applyAlignment="1">
      <alignment/>
    </xf>
    <xf numFmtId="43" fontId="4" fillId="0" borderId="3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0" applyNumberFormat="1" applyFont="1" applyAlignment="1">
      <alignment/>
    </xf>
    <xf numFmtId="177" fontId="4" fillId="0" borderId="0" xfId="16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/>
    </xf>
    <xf numFmtId="43" fontId="4" fillId="0" borderId="1" xfId="15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 quotePrefix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18" fillId="0" borderId="0" xfId="16" applyNumberFormat="1" applyFont="1" applyAlignment="1">
      <alignment horizontal="center"/>
    </xf>
    <xf numFmtId="177" fontId="18" fillId="0" borderId="0" xfId="16" applyNumberFormat="1" applyFont="1" applyAlignment="1">
      <alignment/>
    </xf>
    <xf numFmtId="177" fontId="0" fillId="0" borderId="1" xfId="16" applyNumberFormat="1" applyBorder="1" applyAlignment="1">
      <alignment/>
    </xf>
    <xf numFmtId="177" fontId="18" fillId="0" borderId="0" xfId="16" applyNumberFormat="1" applyFont="1" applyBorder="1" applyAlignment="1">
      <alignment horizontal="center"/>
    </xf>
    <xf numFmtId="177" fontId="0" fillId="0" borderId="0" xfId="16" applyNumberFormat="1" applyBorder="1" applyAlignment="1">
      <alignment/>
    </xf>
    <xf numFmtId="177" fontId="18" fillId="0" borderId="0" xfId="16" applyNumberFormat="1" applyFont="1" applyBorder="1" applyAlignment="1">
      <alignment/>
    </xf>
    <xf numFmtId="0" fontId="11" fillId="0" borderId="0" xfId="0" applyFont="1" applyAlignment="1">
      <alignment horizontal="left"/>
    </xf>
    <xf numFmtId="177" fontId="0" fillId="0" borderId="0" xfId="16" applyNumberFormat="1" applyFont="1" applyAlignment="1" quotePrefix="1">
      <alignment horizontal="left"/>
    </xf>
    <xf numFmtId="177" fontId="0" fillId="0" borderId="11" xfId="16" applyNumberFormat="1" applyBorder="1" applyAlignment="1">
      <alignment/>
    </xf>
    <xf numFmtId="177" fontId="0" fillId="0" borderId="0" xfId="16" applyNumberFormat="1" applyFont="1" applyBorder="1" applyAlignment="1">
      <alignment/>
    </xf>
    <xf numFmtId="177" fontId="0" fillId="0" borderId="8" xfId="16" applyNumberFormat="1" applyBorder="1" applyAlignment="1">
      <alignment/>
    </xf>
    <xf numFmtId="177" fontId="0" fillId="0" borderId="0" xfId="16" applyNumberFormat="1" applyFont="1" applyAlignment="1">
      <alignment horizontal="right"/>
    </xf>
    <xf numFmtId="177" fontId="0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\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1-3"/>
      <sheetName val="BS1-3"/>
      <sheetName val="PL4-6"/>
      <sheetName val="PL1-6"/>
      <sheetName val="BS6"/>
      <sheetName val="BS6 (2)"/>
    </sheetNames>
    <sheetDataSet>
      <sheetData sheetId="0">
        <row r="35">
          <cell r="C35">
            <v>68019008.42</v>
          </cell>
          <cell r="G35">
            <v>33691.76000000001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80" zoomScaleNormal="80" workbookViewId="0" topLeftCell="C31">
      <selection activeCell="E43" sqref="E43"/>
    </sheetView>
  </sheetViews>
  <sheetFormatPr defaultColWidth="9.00390625" defaultRowHeight="15.75"/>
  <cols>
    <col min="1" max="1" width="5.125" style="0" customWidth="1"/>
    <col min="2" max="2" width="28.25390625" style="0" customWidth="1"/>
    <col min="3" max="3" width="2.375" style="0" customWidth="1"/>
    <col min="4" max="5" width="17.625" style="1" customWidth="1"/>
    <col min="6" max="6" width="2.00390625" style="0" customWidth="1"/>
    <col min="7" max="7" width="17.375" style="1" customWidth="1"/>
    <col min="8" max="8" width="17.625" style="1" customWidth="1"/>
  </cols>
  <sheetData>
    <row r="1" ht="15.75">
      <c r="A1" s="11" t="s">
        <v>0</v>
      </c>
    </row>
    <row r="2" ht="15.75">
      <c r="A2" s="13" t="s">
        <v>1</v>
      </c>
    </row>
    <row r="4" ht="15.75">
      <c r="A4" s="2" t="s">
        <v>2</v>
      </c>
    </row>
    <row r="5" spans="1:4" ht="15.75">
      <c r="A5" s="2" t="s">
        <v>3</v>
      </c>
      <c r="D5" s="3" t="s">
        <v>4</v>
      </c>
    </row>
    <row r="6" spans="1:4" ht="15.75">
      <c r="A6" t="s">
        <v>5</v>
      </c>
      <c r="D6" s="3" t="s">
        <v>6</v>
      </c>
    </row>
    <row r="7" spans="1:4" ht="15.75">
      <c r="A7" s="2" t="s">
        <v>7</v>
      </c>
      <c r="D7" s="3" t="s">
        <v>8</v>
      </c>
    </row>
    <row r="8" spans="1:4" ht="15.75">
      <c r="A8" s="2" t="s">
        <v>9</v>
      </c>
      <c r="D8" s="4" t="s">
        <v>10</v>
      </c>
    </row>
    <row r="9" ht="15.75">
      <c r="A9" s="2" t="s">
        <v>11</v>
      </c>
    </row>
    <row r="10" ht="15.75">
      <c r="A10" s="2" t="s">
        <v>12</v>
      </c>
    </row>
    <row r="12" ht="15.75">
      <c r="A12" s="2" t="s">
        <v>13</v>
      </c>
    </row>
    <row r="13" spans="1:4" ht="15.75">
      <c r="A13" s="2" t="s">
        <v>14</v>
      </c>
      <c r="D13" s="37" t="s">
        <v>204</v>
      </c>
    </row>
    <row r="15" ht="15.75">
      <c r="B15" s="2" t="s">
        <v>205</v>
      </c>
    </row>
    <row r="16" spans="2:4" ht="15.75">
      <c r="B16" s="2" t="s">
        <v>15</v>
      </c>
      <c r="D16" s="3"/>
    </row>
    <row r="17" ht="15.75">
      <c r="D17" s="3"/>
    </row>
    <row r="18" ht="15.75">
      <c r="A18" s="25" t="s">
        <v>16</v>
      </c>
    </row>
    <row r="20" spans="4:8" s="14" customFormat="1" ht="12.75">
      <c r="D20" s="15" t="s">
        <v>17</v>
      </c>
      <c r="E20" s="17"/>
      <c r="G20" s="15" t="s">
        <v>18</v>
      </c>
      <c r="H20" s="17"/>
    </row>
    <row r="21" spans="4:8" s="14" customFormat="1" ht="12.75">
      <c r="D21" s="16" t="s">
        <v>19</v>
      </c>
      <c r="E21" s="16" t="s">
        <v>20</v>
      </c>
      <c r="G21" s="16" t="s">
        <v>19</v>
      </c>
      <c r="H21" s="16" t="s">
        <v>20</v>
      </c>
    </row>
    <row r="22" spans="4:8" s="14" customFormat="1" ht="12.75">
      <c r="D22" s="18" t="s">
        <v>21</v>
      </c>
      <c r="E22" s="16" t="s">
        <v>22</v>
      </c>
      <c r="G22" s="16" t="s">
        <v>23</v>
      </c>
      <c r="H22" s="16" t="s">
        <v>22</v>
      </c>
    </row>
    <row r="23" spans="4:8" s="14" customFormat="1" ht="12.75">
      <c r="D23" s="18" t="s">
        <v>24</v>
      </c>
      <c r="E23" s="16" t="s">
        <v>24</v>
      </c>
      <c r="G23" s="16" t="s">
        <v>25</v>
      </c>
      <c r="H23" s="16" t="s">
        <v>26</v>
      </c>
    </row>
    <row r="24" spans="4:8" s="14" customFormat="1" ht="12.75">
      <c r="D24" s="16" t="s">
        <v>206</v>
      </c>
      <c r="E24" s="18" t="s">
        <v>207</v>
      </c>
      <c r="G24" s="16" t="s">
        <v>206</v>
      </c>
      <c r="H24" s="18" t="s">
        <v>207</v>
      </c>
    </row>
    <row r="25" spans="4:8" s="19" customFormat="1" ht="12.75">
      <c r="D25" s="16" t="s">
        <v>27</v>
      </c>
      <c r="E25" s="18" t="s">
        <v>27</v>
      </c>
      <c r="G25" s="18" t="s">
        <v>27</v>
      </c>
      <c r="H25" s="18" t="s">
        <v>27</v>
      </c>
    </row>
    <row r="26" spans="4:8" s="5" customFormat="1" ht="15">
      <c r="D26" s="7"/>
      <c r="E26" s="6"/>
      <c r="G26" s="9"/>
      <c r="H26" s="9"/>
    </row>
    <row r="27" spans="1:8" ht="15.75">
      <c r="A27" t="s">
        <v>28</v>
      </c>
      <c r="B27" t="s">
        <v>119</v>
      </c>
      <c r="D27" s="1">
        <v>45899</v>
      </c>
      <c r="E27" s="1">
        <v>47147</v>
      </c>
      <c r="G27" s="1">
        <v>81142</v>
      </c>
      <c r="H27" s="1">
        <v>88085</v>
      </c>
    </row>
    <row r="29" spans="1:8" ht="15.75">
      <c r="A29" s="2" t="s">
        <v>29</v>
      </c>
      <c r="B29" t="s">
        <v>30</v>
      </c>
      <c r="D29" s="1">
        <v>0</v>
      </c>
      <c r="E29" s="1">
        <v>0</v>
      </c>
      <c r="G29" s="1">
        <v>0</v>
      </c>
      <c r="H29" s="1">
        <v>0</v>
      </c>
    </row>
    <row r="31" spans="1:8" ht="15.75">
      <c r="A31" s="2" t="s">
        <v>31</v>
      </c>
      <c r="B31" t="s">
        <v>120</v>
      </c>
      <c r="D31" s="1">
        <v>264</v>
      </c>
      <c r="E31" s="1">
        <v>210</v>
      </c>
      <c r="G31" s="1">
        <v>478</v>
      </c>
      <c r="H31" s="1">
        <v>231</v>
      </c>
    </row>
    <row r="33" spans="1:8" ht="15.75">
      <c r="A33" t="s">
        <v>32</v>
      </c>
      <c r="B33" s="20" t="s">
        <v>121</v>
      </c>
      <c r="D33" s="1">
        <v>13282</v>
      </c>
      <c r="E33" s="1">
        <v>12203</v>
      </c>
      <c r="G33" s="1">
        <v>25144</v>
      </c>
      <c r="H33" s="1">
        <v>21673</v>
      </c>
    </row>
    <row r="34" ht="15.75">
      <c r="B34" t="s">
        <v>122</v>
      </c>
    </row>
    <row r="35" ht="15.75">
      <c r="B35" t="s">
        <v>123</v>
      </c>
    </row>
    <row r="36" ht="15.75">
      <c r="B36" s="20" t="s">
        <v>124</v>
      </c>
    </row>
    <row r="37" ht="15.75">
      <c r="B37" t="s">
        <v>33</v>
      </c>
    </row>
    <row r="39" spans="1:8" ht="15.75">
      <c r="A39" t="s">
        <v>34</v>
      </c>
      <c r="B39" t="s">
        <v>125</v>
      </c>
      <c r="D39" s="1">
        <v>1599</v>
      </c>
      <c r="E39" s="1">
        <v>2126</v>
      </c>
      <c r="G39" s="1">
        <v>3084</v>
      </c>
      <c r="H39" s="1">
        <v>3164</v>
      </c>
    </row>
    <row r="41" spans="1:8" ht="15.75">
      <c r="A41" s="2" t="s">
        <v>35</v>
      </c>
      <c r="B41" t="s">
        <v>36</v>
      </c>
      <c r="D41" s="1">
        <v>6740</v>
      </c>
      <c r="E41" s="1">
        <v>5258</v>
      </c>
      <c r="G41" s="1">
        <v>13440</v>
      </c>
      <c r="H41" s="1">
        <v>9242</v>
      </c>
    </row>
    <row r="43" spans="1:8" ht="15.75">
      <c r="A43" t="s">
        <v>37</v>
      </c>
      <c r="B43" t="s">
        <v>38</v>
      </c>
      <c r="D43" s="1">
        <v>0</v>
      </c>
      <c r="E43" s="1">
        <v>0</v>
      </c>
      <c r="G43" s="1">
        <v>0</v>
      </c>
      <c r="H43" s="1">
        <v>0</v>
      </c>
    </row>
    <row r="45" spans="1:8" ht="15.75">
      <c r="A45" t="s">
        <v>39</v>
      </c>
      <c r="B45" t="s">
        <v>126</v>
      </c>
      <c r="D45" s="1">
        <f>D33-D39-D41</f>
        <v>4943</v>
      </c>
      <c r="E45" s="1">
        <f>E33-E39-E41</f>
        <v>4819</v>
      </c>
      <c r="F45" s="1">
        <f>F33-F39-F41</f>
        <v>0</v>
      </c>
      <c r="G45" s="1">
        <f>G33-G39-G41</f>
        <v>8620</v>
      </c>
      <c r="H45" s="1">
        <f>H33-H39-H41</f>
        <v>9267</v>
      </c>
    </row>
    <row r="46" ht="15.75">
      <c r="B46" t="s">
        <v>127</v>
      </c>
    </row>
    <row r="47" ht="15.75">
      <c r="B47" t="s">
        <v>128</v>
      </c>
    </row>
    <row r="49" spans="1:8" ht="15.75">
      <c r="A49" t="s">
        <v>40</v>
      </c>
      <c r="B49" s="20" t="s">
        <v>129</v>
      </c>
      <c r="D49" s="1">
        <v>0</v>
      </c>
      <c r="E49" s="1">
        <v>0</v>
      </c>
      <c r="G49" s="1">
        <v>0</v>
      </c>
      <c r="H49" s="1">
        <v>0</v>
      </c>
    </row>
    <row r="50" ht="15.75">
      <c r="B50" t="s">
        <v>130</v>
      </c>
    </row>
    <row r="52" spans="1:8" ht="15.75">
      <c r="A52" t="s">
        <v>41</v>
      </c>
      <c r="B52" t="s">
        <v>131</v>
      </c>
      <c r="D52" s="1">
        <f>D45-D49</f>
        <v>4943</v>
      </c>
      <c r="E52" s="1">
        <f>E45-E49</f>
        <v>4819</v>
      </c>
      <c r="F52" s="1">
        <f>F45-F49+F31</f>
        <v>0</v>
      </c>
      <c r="G52" s="1">
        <f>G45-G49</f>
        <v>8620</v>
      </c>
      <c r="H52" s="1">
        <f>H45-H49</f>
        <v>9267</v>
      </c>
    </row>
    <row r="53" ht="15.75">
      <c r="B53" t="s">
        <v>42</v>
      </c>
    </row>
    <row r="54" ht="15.75">
      <c r="B54" t="s">
        <v>33</v>
      </c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zoomScale="80" zoomScaleNormal="80" workbookViewId="0" topLeftCell="A33">
      <selection activeCell="E42" sqref="E42"/>
    </sheetView>
  </sheetViews>
  <sheetFormatPr defaultColWidth="9.00390625" defaultRowHeight="15.75"/>
  <cols>
    <col min="1" max="1" width="5.875" style="0" customWidth="1"/>
    <col min="2" max="2" width="27.625" style="0" customWidth="1"/>
    <col min="3" max="3" width="2.375" style="0" customWidth="1"/>
    <col min="4" max="4" width="16.625" style="1" customWidth="1"/>
    <col min="5" max="5" width="15.75390625" style="12" customWidth="1"/>
    <col min="6" max="6" width="2.00390625" style="0" customWidth="1"/>
    <col min="7" max="7" width="16.125" style="1" customWidth="1"/>
    <col min="8" max="8" width="16.25390625" style="1" customWidth="1"/>
  </cols>
  <sheetData>
    <row r="1" ht="15.75">
      <c r="A1" s="11" t="s">
        <v>0</v>
      </c>
    </row>
    <row r="2" ht="15.75">
      <c r="A2" s="13" t="s">
        <v>1</v>
      </c>
    </row>
    <row r="4" ht="15.75">
      <c r="A4" s="13" t="s">
        <v>43</v>
      </c>
    </row>
    <row r="6" spans="4:8" s="14" customFormat="1" ht="12.75">
      <c r="D6" s="15" t="s">
        <v>17</v>
      </c>
      <c r="E6" s="16"/>
      <c r="G6" s="15" t="s">
        <v>18</v>
      </c>
      <c r="H6" s="17"/>
    </row>
    <row r="7" spans="4:8" s="14" customFormat="1" ht="12.75">
      <c r="D7" s="16" t="s">
        <v>19</v>
      </c>
      <c r="E7" s="16" t="s">
        <v>20</v>
      </c>
      <c r="G7" s="16" t="s">
        <v>19</v>
      </c>
      <c r="H7" s="16" t="s">
        <v>20</v>
      </c>
    </row>
    <row r="8" spans="4:8" s="14" customFormat="1" ht="12.75">
      <c r="D8" s="18" t="s">
        <v>21</v>
      </c>
      <c r="E8" s="16" t="s">
        <v>22</v>
      </c>
      <c r="G8" s="16" t="s">
        <v>23</v>
      </c>
      <c r="H8" s="16" t="s">
        <v>22</v>
      </c>
    </row>
    <row r="9" spans="4:8" s="14" customFormat="1" ht="12.75">
      <c r="D9" s="18" t="s">
        <v>24</v>
      </c>
      <c r="E9" s="16" t="s">
        <v>24</v>
      </c>
      <c r="G9" s="16" t="s">
        <v>25</v>
      </c>
      <c r="H9" s="16" t="s">
        <v>26</v>
      </c>
    </row>
    <row r="10" spans="4:8" s="14" customFormat="1" ht="12.75">
      <c r="D10" s="16" t="s">
        <v>206</v>
      </c>
      <c r="E10" s="16" t="s">
        <v>207</v>
      </c>
      <c r="G10" s="16" t="s">
        <v>206</v>
      </c>
      <c r="H10" s="16" t="s">
        <v>207</v>
      </c>
    </row>
    <row r="11" spans="4:8" s="19" customFormat="1" ht="12.75">
      <c r="D11" s="16" t="s">
        <v>27</v>
      </c>
      <c r="E11" s="18" t="s">
        <v>27</v>
      </c>
      <c r="G11" s="18" t="s">
        <v>27</v>
      </c>
      <c r="H11" s="18" t="s">
        <v>27</v>
      </c>
    </row>
    <row r="12" spans="4:8" s="14" customFormat="1" ht="12.75">
      <c r="D12" s="17"/>
      <c r="E12" s="18"/>
      <c r="G12" s="18"/>
      <c r="H12" s="18"/>
    </row>
    <row r="14" spans="1:8" ht="15.75">
      <c r="A14" s="2" t="s">
        <v>44</v>
      </c>
      <c r="B14" t="s">
        <v>132</v>
      </c>
      <c r="D14" s="1">
        <v>7</v>
      </c>
      <c r="E14" s="1">
        <v>0</v>
      </c>
      <c r="G14" s="1">
        <v>7</v>
      </c>
      <c r="H14" s="1">
        <v>0</v>
      </c>
    </row>
    <row r="15" spans="1:5" ht="15.75">
      <c r="A15" s="2"/>
      <c r="E15" s="1"/>
    </row>
    <row r="16" spans="1:10" ht="15.75">
      <c r="A16" s="2" t="s">
        <v>45</v>
      </c>
      <c r="B16" s="2" t="s">
        <v>133</v>
      </c>
      <c r="D16" s="7">
        <f>qtrpl1!D52-qtrpl2!D14</f>
        <v>4936</v>
      </c>
      <c r="E16" s="7">
        <f>qtrpl1!E52-qtrpl2!E14</f>
        <v>4819</v>
      </c>
      <c r="F16" s="5"/>
      <c r="G16" s="7">
        <f>qtrpl1!G52-qtrpl2!G14</f>
        <v>8613</v>
      </c>
      <c r="H16" s="7">
        <f>qtrpl1!H52-qtrpl2!H14</f>
        <v>9267</v>
      </c>
      <c r="I16" s="5"/>
      <c r="J16" s="5"/>
    </row>
    <row r="17" spans="1:10" ht="15.75">
      <c r="A17" s="2"/>
      <c r="B17" s="2" t="s">
        <v>46</v>
      </c>
      <c r="D17" s="7"/>
      <c r="E17" s="7"/>
      <c r="F17" s="5"/>
      <c r="G17" s="7"/>
      <c r="H17" s="7"/>
      <c r="I17" s="5"/>
      <c r="J17" s="5"/>
    </row>
    <row r="18" spans="2:10" ht="15.75">
      <c r="B18" s="2" t="s">
        <v>47</v>
      </c>
      <c r="D18" s="7"/>
      <c r="E18" s="7"/>
      <c r="F18" s="5"/>
      <c r="G18" s="7"/>
      <c r="H18" s="7"/>
      <c r="I18" s="5"/>
      <c r="J18" s="5"/>
    </row>
    <row r="19" spans="2:10" ht="15.75">
      <c r="B19" s="20" t="s">
        <v>48</v>
      </c>
      <c r="D19" s="7">
        <v>0</v>
      </c>
      <c r="E19" s="7">
        <v>0</v>
      </c>
      <c r="F19" s="5"/>
      <c r="G19" s="7">
        <v>0</v>
      </c>
      <c r="H19" s="7">
        <v>0</v>
      </c>
      <c r="I19" s="5"/>
      <c r="J19" s="5"/>
    </row>
    <row r="20" spans="4:10" ht="15.75">
      <c r="D20" s="7"/>
      <c r="E20" s="7"/>
      <c r="F20" s="5"/>
      <c r="G20" s="7"/>
      <c r="H20" s="7"/>
      <c r="I20" s="5"/>
      <c r="J20" s="5"/>
    </row>
    <row r="21" spans="1:10" ht="15.75">
      <c r="A21" t="s">
        <v>49</v>
      </c>
      <c r="B21" t="s">
        <v>137</v>
      </c>
      <c r="D21" s="7">
        <v>0</v>
      </c>
      <c r="E21" s="7">
        <v>0</v>
      </c>
      <c r="F21" s="5"/>
      <c r="G21" s="7">
        <v>0</v>
      </c>
      <c r="H21" s="7">
        <v>0</v>
      </c>
      <c r="I21" s="5"/>
      <c r="J21" s="5"/>
    </row>
    <row r="22" spans="2:10" ht="15.75">
      <c r="B22" t="s">
        <v>138</v>
      </c>
      <c r="D22" s="7"/>
      <c r="E22" s="7"/>
      <c r="F22" s="5"/>
      <c r="G22" s="7"/>
      <c r="H22" s="7"/>
      <c r="I22" s="5"/>
      <c r="J22" s="5"/>
    </row>
    <row r="23" spans="4:10" ht="15.75">
      <c r="D23" s="7"/>
      <c r="E23" s="7"/>
      <c r="F23" s="5"/>
      <c r="G23" s="7"/>
      <c r="H23" s="7"/>
      <c r="I23" s="5"/>
      <c r="J23" s="5"/>
    </row>
    <row r="24" spans="1:10" ht="15.75">
      <c r="A24" s="24" t="s">
        <v>139</v>
      </c>
      <c r="B24" s="20" t="s">
        <v>134</v>
      </c>
      <c r="D24" s="7">
        <f>D16-D19-D21</f>
        <v>4936</v>
      </c>
      <c r="E24" s="7">
        <f>E16-E19-E21</f>
        <v>4819</v>
      </c>
      <c r="F24" s="5"/>
      <c r="G24" s="7">
        <f>G16-G19-G21</f>
        <v>8613</v>
      </c>
      <c r="H24" s="7">
        <f>H16-H19-H21</f>
        <v>9267</v>
      </c>
      <c r="I24" s="5"/>
      <c r="J24" s="5"/>
    </row>
    <row r="25" spans="2:10" ht="15.75">
      <c r="B25" t="s">
        <v>135</v>
      </c>
      <c r="D25" s="7"/>
      <c r="E25" s="7"/>
      <c r="F25" s="5"/>
      <c r="G25" s="7"/>
      <c r="H25" s="7"/>
      <c r="I25" s="5"/>
      <c r="J25" s="5"/>
    </row>
    <row r="26" spans="2:10" ht="15.75">
      <c r="B26" t="s">
        <v>136</v>
      </c>
      <c r="D26" s="7"/>
      <c r="E26" s="7"/>
      <c r="F26" s="5"/>
      <c r="G26" s="7"/>
      <c r="H26" s="7"/>
      <c r="I26" s="5"/>
      <c r="J26" s="5"/>
    </row>
    <row r="27" spans="4:10" ht="15.75">
      <c r="D27" s="7"/>
      <c r="E27" s="7"/>
      <c r="F27" s="5"/>
      <c r="G27" s="7"/>
      <c r="H27" s="7"/>
      <c r="I27" s="5"/>
      <c r="J27" s="5"/>
    </row>
    <row r="28" spans="1:10" ht="15.75">
      <c r="A28" s="24" t="s">
        <v>140</v>
      </c>
      <c r="B28" s="2" t="s">
        <v>50</v>
      </c>
      <c r="D28" s="7">
        <v>0</v>
      </c>
      <c r="E28" s="7">
        <v>0</v>
      </c>
      <c r="F28" s="5"/>
      <c r="G28" s="7">
        <v>0</v>
      </c>
      <c r="H28" s="7">
        <v>0</v>
      </c>
      <c r="I28" s="5"/>
      <c r="J28" s="5"/>
    </row>
    <row r="29" spans="2:10" ht="15.75">
      <c r="B29" s="2" t="s">
        <v>51</v>
      </c>
      <c r="D29" s="7">
        <v>0</v>
      </c>
      <c r="E29" s="7">
        <v>0</v>
      </c>
      <c r="F29" s="5"/>
      <c r="G29" s="7">
        <v>0</v>
      </c>
      <c r="H29" s="7">
        <v>0</v>
      </c>
      <c r="I29" s="5"/>
      <c r="J29" s="5"/>
    </row>
    <row r="30" spans="1:10" ht="15.75">
      <c r="A30" s="2"/>
      <c r="B30" s="2" t="s">
        <v>52</v>
      </c>
      <c r="D30" s="7">
        <v>0</v>
      </c>
      <c r="E30" s="7">
        <v>0</v>
      </c>
      <c r="F30" s="5"/>
      <c r="G30" s="7">
        <v>0</v>
      </c>
      <c r="H30" s="7">
        <v>0</v>
      </c>
      <c r="I30" s="5"/>
      <c r="J30" s="5"/>
    </row>
    <row r="31" spans="2:10" ht="15.75">
      <c r="B31" s="2" t="s">
        <v>53</v>
      </c>
      <c r="D31" s="7"/>
      <c r="E31" s="7"/>
      <c r="F31" s="5"/>
      <c r="G31" s="7"/>
      <c r="H31" s="7"/>
      <c r="I31" s="5"/>
      <c r="J31" s="5"/>
    </row>
    <row r="32" spans="2:10" ht="15.75">
      <c r="B32" s="2" t="s">
        <v>54</v>
      </c>
      <c r="D32" s="7"/>
      <c r="E32" s="7"/>
      <c r="F32" s="5"/>
      <c r="G32" s="7"/>
      <c r="H32" s="7"/>
      <c r="I32" s="5"/>
      <c r="J32" s="5"/>
    </row>
    <row r="33" spans="4:10" ht="15.75">
      <c r="D33" s="7"/>
      <c r="E33" s="7"/>
      <c r="F33" s="5"/>
      <c r="G33" s="7"/>
      <c r="H33" s="7"/>
      <c r="I33" s="5"/>
      <c r="J33" s="5"/>
    </row>
    <row r="34" spans="1:10" ht="15.75">
      <c r="A34" s="24" t="s">
        <v>141</v>
      </c>
      <c r="B34" t="s">
        <v>142</v>
      </c>
      <c r="D34" s="7">
        <f>D24-SUM(D28:D32)</f>
        <v>4936</v>
      </c>
      <c r="E34" s="7">
        <f>E24-SUM(E28:E32)</f>
        <v>4819</v>
      </c>
      <c r="F34" s="5"/>
      <c r="G34" s="7">
        <f>G24-SUM(G28:G32)</f>
        <v>8613</v>
      </c>
      <c r="H34" s="7">
        <f>H24-SUM(H28:H32)</f>
        <v>9267</v>
      </c>
      <c r="I34" s="5"/>
      <c r="J34" s="5"/>
    </row>
    <row r="35" spans="2:10" ht="15.75">
      <c r="B35" t="s">
        <v>143</v>
      </c>
      <c r="D35" s="7"/>
      <c r="E35" s="7"/>
      <c r="F35" s="5"/>
      <c r="G35" s="7"/>
      <c r="H35" s="7"/>
      <c r="I35" s="5"/>
      <c r="J35" s="5"/>
    </row>
    <row r="36" spans="4:10" ht="15.75">
      <c r="D36" s="7"/>
      <c r="E36" s="7"/>
      <c r="F36" s="5"/>
      <c r="G36" s="7"/>
      <c r="H36" s="7"/>
      <c r="I36" s="5"/>
      <c r="J36" s="5"/>
    </row>
    <row r="37" spans="1:10" ht="15.75">
      <c r="A37" s="24">
        <v>3</v>
      </c>
      <c r="B37" t="s">
        <v>55</v>
      </c>
      <c r="D37" s="21"/>
      <c r="E37" s="7"/>
      <c r="F37" s="5"/>
      <c r="G37" s="21"/>
      <c r="H37" s="7"/>
      <c r="I37" s="5"/>
      <c r="J37" s="5"/>
    </row>
    <row r="38" spans="2:10" ht="15.75">
      <c r="B38" t="s">
        <v>144</v>
      </c>
      <c r="D38" s="7"/>
      <c r="E38" s="7"/>
      <c r="F38" s="5"/>
      <c r="G38" s="7"/>
      <c r="H38" s="7"/>
      <c r="I38" s="5"/>
      <c r="J38" s="5"/>
    </row>
    <row r="39" spans="2:10" ht="15.75">
      <c r="B39" t="s">
        <v>56</v>
      </c>
      <c r="D39" s="7"/>
      <c r="E39" s="7"/>
      <c r="F39" s="5"/>
      <c r="G39" s="7"/>
      <c r="H39" s="7"/>
      <c r="I39" s="5"/>
      <c r="J39" s="5"/>
    </row>
    <row r="40" spans="2:10" ht="15.75">
      <c r="B40" s="2" t="s">
        <v>57</v>
      </c>
      <c r="D40" s="7"/>
      <c r="E40" s="7"/>
      <c r="F40" s="5"/>
      <c r="G40" s="7"/>
      <c r="H40" s="7"/>
      <c r="I40" s="5"/>
      <c r="J40" s="5"/>
    </row>
    <row r="41" spans="4:10" ht="15.75">
      <c r="D41" s="7"/>
      <c r="E41" s="7"/>
      <c r="F41" s="5"/>
      <c r="G41" s="7"/>
      <c r="H41" s="7"/>
      <c r="I41" s="5"/>
      <c r="J41" s="5"/>
    </row>
    <row r="42" spans="2:10" ht="15.75">
      <c r="B42" s="2" t="s">
        <v>188</v>
      </c>
      <c r="D42" s="21">
        <v>3.16</v>
      </c>
      <c r="E42" s="21">
        <v>4.11</v>
      </c>
      <c r="F42" s="5"/>
      <c r="G42" s="21">
        <v>5.52</v>
      </c>
      <c r="H42" s="21">
        <v>7.92</v>
      </c>
      <c r="I42" s="5"/>
      <c r="J42" s="5"/>
    </row>
    <row r="43" spans="2:10" ht="15.75">
      <c r="B43" s="20" t="s">
        <v>58</v>
      </c>
      <c r="D43" s="7"/>
      <c r="E43" s="7"/>
      <c r="F43" s="5"/>
      <c r="G43" s="7"/>
      <c r="H43" s="7"/>
      <c r="I43" s="5"/>
      <c r="J43" s="5"/>
    </row>
    <row r="44" spans="4:10" ht="15.75">
      <c r="D44" s="7"/>
      <c r="E44" s="7"/>
      <c r="F44" s="5"/>
      <c r="G44" s="7"/>
      <c r="H44" s="7"/>
      <c r="I44" s="5"/>
      <c r="J44" s="5"/>
    </row>
    <row r="45" spans="2:10" ht="15.75">
      <c r="B45" s="2" t="s">
        <v>287</v>
      </c>
      <c r="D45" s="21">
        <v>3.09</v>
      </c>
      <c r="E45" s="21">
        <v>3.73</v>
      </c>
      <c r="F45" s="5"/>
      <c r="G45" s="21">
        <v>5.49</v>
      </c>
      <c r="H45" s="21">
        <v>7.34</v>
      </c>
      <c r="I45" s="5"/>
      <c r="J45" s="5"/>
    </row>
    <row r="46" spans="2:10" ht="15.75">
      <c r="B46" s="20"/>
      <c r="D46" s="7"/>
      <c r="E46" s="7"/>
      <c r="F46" s="5"/>
      <c r="G46" s="7"/>
      <c r="H46" s="7"/>
      <c r="I46" s="5"/>
      <c r="J46" s="5"/>
    </row>
    <row r="47" spans="4:10" ht="15.75">
      <c r="D47" s="7"/>
      <c r="E47" s="7"/>
      <c r="F47" s="5"/>
      <c r="G47" s="7"/>
      <c r="H47" s="7"/>
      <c r="I47" s="5"/>
      <c r="J47" s="5"/>
    </row>
    <row r="48" spans="4:10" ht="15.75">
      <c r="D48" s="7"/>
      <c r="E48" s="7"/>
      <c r="F48" s="5"/>
      <c r="G48" s="7"/>
      <c r="H48" s="7"/>
      <c r="I48" s="5"/>
      <c r="J48" s="5"/>
    </row>
    <row r="49" spans="4:10" ht="15.75">
      <c r="D49" s="7"/>
      <c r="E49" s="7"/>
      <c r="F49" s="5"/>
      <c r="G49" s="7"/>
      <c r="H49" s="7"/>
      <c r="I49" s="5"/>
      <c r="J49" s="5"/>
    </row>
    <row r="50" spans="4:10" ht="15.75">
      <c r="D50" s="7"/>
      <c r="E50" s="7"/>
      <c r="F50" s="5"/>
      <c r="G50" s="7"/>
      <c r="H50" s="7"/>
      <c r="I50" s="5"/>
      <c r="J50" s="5"/>
    </row>
    <row r="51" spans="4:10" ht="15.75">
      <c r="D51" s="7"/>
      <c r="E51" s="7"/>
      <c r="F51" s="5"/>
      <c r="G51" s="7"/>
      <c r="H51" s="7"/>
      <c r="I51" s="5"/>
      <c r="J51" s="5"/>
    </row>
    <row r="52" spans="4:10" ht="15.75">
      <c r="D52" s="7"/>
      <c r="E52" s="7"/>
      <c r="F52" s="5"/>
      <c r="G52" s="7"/>
      <c r="H52" s="7"/>
      <c r="I52" s="5"/>
      <c r="J52" s="5"/>
    </row>
    <row r="53" spans="4:10" ht="15.75">
      <c r="D53" s="7"/>
      <c r="E53" s="7"/>
      <c r="F53" s="5"/>
      <c r="G53" s="7"/>
      <c r="H53" s="7"/>
      <c r="I53" s="5"/>
      <c r="J53" s="5"/>
    </row>
    <row r="54" spans="4:10" ht="15.75">
      <c r="D54" s="7"/>
      <c r="E54" s="7"/>
      <c r="F54" s="5"/>
      <c r="G54" s="7"/>
      <c r="H54" s="7"/>
      <c r="I54" s="5"/>
      <c r="J54" s="5"/>
    </row>
    <row r="55" spans="4:10" ht="15.75">
      <c r="D55" s="7"/>
      <c r="E55" s="7"/>
      <c r="F55" s="5"/>
      <c r="G55" s="7"/>
      <c r="H55" s="7"/>
      <c r="I55" s="5"/>
      <c r="J55" s="5"/>
    </row>
    <row r="56" spans="4:10" ht="15.75">
      <c r="D56" s="7"/>
      <c r="E56" s="7"/>
      <c r="F56" s="5"/>
      <c r="G56" s="7"/>
      <c r="H56" s="7"/>
      <c r="I56" s="5"/>
      <c r="J56" s="5"/>
    </row>
    <row r="57" spans="4:10" ht="15.75">
      <c r="D57" s="7"/>
      <c r="E57" s="7"/>
      <c r="F57" s="5"/>
      <c r="G57" s="7"/>
      <c r="H57" s="7"/>
      <c r="I57" s="5"/>
      <c r="J57" s="5"/>
    </row>
    <row r="58" spans="4:10" ht="15.75">
      <c r="D58" s="7"/>
      <c r="E58" s="7"/>
      <c r="F58" s="5"/>
      <c r="G58" s="7"/>
      <c r="H58" s="7"/>
      <c r="I58" s="5"/>
      <c r="J58" s="5"/>
    </row>
    <row r="59" spans="4:10" ht="15.75">
      <c r="D59" s="7"/>
      <c r="E59" s="7"/>
      <c r="F59" s="5"/>
      <c r="G59" s="7"/>
      <c r="H59" s="7"/>
      <c r="I59" s="5"/>
      <c r="J59" s="5"/>
    </row>
    <row r="60" spans="4:10" ht="15.75">
      <c r="D60" s="7"/>
      <c r="E60" s="8"/>
      <c r="F60" s="5"/>
      <c r="G60" s="7"/>
      <c r="H60" s="8"/>
      <c r="I60" s="5"/>
      <c r="J60" s="5"/>
    </row>
    <row r="61" spans="4:10" ht="15.75">
      <c r="D61" s="7"/>
      <c r="E61" s="8"/>
      <c r="F61" s="5"/>
      <c r="G61" s="7"/>
      <c r="H61" s="8"/>
      <c r="I61" s="5"/>
      <c r="J61" s="5"/>
    </row>
    <row r="62" spans="4:10" ht="15.75">
      <c r="D62" s="7"/>
      <c r="E62" s="8"/>
      <c r="F62" s="5"/>
      <c r="G62" s="7"/>
      <c r="H62" s="8"/>
      <c r="I62" s="5"/>
      <c r="J62" s="5"/>
    </row>
    <row r="63" spans="4:10" ht="15.75">
      <c r="D63" s="7"/>
      <c r="E63" s="8"/>
      <c r="F63" s="5"/>
      <c r="G63" s="7"/>
      <c r="H63" s="8"/>
      <c r="I63" s="5"/>
      <c r="J63" s="5"/>
    </row>
    <row r="64" spans="4:10" ht="15.75">
      <c r="D64" s="7"/>
      <c r="E64" s="8"/>
      <c r="F64" s="5"/>
      <c r="G64" s="7"/>
      <c r="H64" s="8"/>
      <c r="I64" s="5"/>
      <c r="J64" s="5"/>
    </row>
    <row r="65" spans="4:10" ht="15.75">
      <c r="D65" s="7"/>
      <c r="E65" s="8"/>
      <c r="F65" s="5"/>
      <c r="G65" s="7"/>
      <c r="H65" s="8"/>
      <c r="I65" s="5"/>
      <c r="J65" s="5"/>
    </row>
    <row r="66" spans="4:10" ht="15.75">
      <c r="D66" s="7"/>
      <c r="E66" s="8"/>
      <c r="F66" s="5"/>
      <c r="G66" s="7"/>
      <c r="H66" s="8"/>
      <c r="I66" s="5"/>
      <c r="J66" s="5"/>
    </row>
    <row r="67" spans="4:10" ht="15.75">
      <c r="D67" s="7"/>
      <c r="E67" s="8"/>
      <c r="F67" s="5"/>
      <c r="G67" s="7"/>
      <c r="H67" s="8"/>
      <c r="I67" s="5"/>
      <c r="J67" s="5"/>
    </row>
    <row r="68" spans="4:10" ht="15.75">
      <c r="D68" s="7"/>
      <c r="E68" s="8"/>
      <c r="F68" s="5"/>
      <c r="G68" s="7"/>
      <c r="H68" s="8"/>
      <c r="I68" s="5"/>
      <c r="J68" s="5"/>
    </row>
    <row r="69" spans="4:10" ht="15.75">
      <c r="D69" s="7"/>
      <c r="E69" s="8"/>
      <c r="F69" s="5"/>
      <c r="G69" s="7"/>
      <c r="H69" s="8"/>
      <c r="I69" s="5"/>
      <c r="J69" s="5"/>
    </row>
    <row r="70" spans="4:10" ht="15.75">
      <c r="D70" s="7"/>
      <c r="E70" s="8"/>
      <c r="F70" s="5"/>
      <c r="G70" s="7"/>
      <c r="H70" s="8"/>
      <c r="I70" s="5"/>
      <c r="J70" s="5"/>
    </row>
    <row r="71" spans="4:10" ht="15.75">
      <c r="D71" s="7"/>
      <c r="E71" s="8"/>
      <c r="F71" s="5"/>
      <c r="G71" s="7"/>
      <c r="H71" s="8"/>
      <c r="I71" s="5"/>
      <c r="J71" s="5"/>
    </row>
    <row r="72" spans="4:10" ht="15.75">
      <c r="D72" s="7"/>
      <c r="E72" s="8"/>
      <c r="F72" s="5"/>
      <c r="G72" s="7"/>
      <c r="H72" s="8"/>
      <c r="I72" s="5"/>
      <c r="J72" s="5"/>
    </row>
    <row r="73" spans="4:10" ht="15.75">
      <c r="D73" s="7"/>
      <c r="E73" s="8"/>
      <c r="F73" s="5"/>
      <c r="G73" s="7"/>
      <c r="H73" s="8"/>
      <c r="I73" s="5"/>
      <c r="J73" s="5"/>
    </row>
    <row r="74" spans="4:10" ht="15.75">
      <c r="D74" s="7"/>
      <c r="E74" s="8"/>
      <c r="F74" s="5"/>
      <c r="G74" s="7"/>
      <c r="H74" s="8"/>
      <c r="I74" s="5"/>
      <c r="J74" s="5"/>
    </row>
    <row r="75" spans="4:10" ht="15.75">
      <c r="D75" s="7"/>
      <c r="E75" s="8"/>
      <c r="F75" s="5"/>
      <c r="G75" s="7"/>
      <c r="H75" s="8"/>
      <c r="I75" s="5"/>
      <c r="J75" s="5"/>
    </row>
    <row r="76" spans="4:10" ht="15.75">
      <c r="D76" s="7"/>
      <c r="E76" s="8"/>
      <c r="F76" s="5"/>
      <c r="G76" s="7"/>
      <c r="H76" s="8"/>
      <c r="I76" s="5"/>
      <c r="J76" s="5"/>
    </row>
    <row r="77" spans="4:10" ht="15.75">
      <c r="D77" s="7"/>
      <c r="E77" s="8"/>
      <c r="F77" s="5"/>
      <c r="G77" s="7"/>
      <c r="H77" s="8"/>
      <c r="I77" s="5"/>
      <c r="J77" s="5"/>
    </row>
    <row r="78" spans="4:10" ht="15.75">
      <c r="D78" s="7"/>
      <c r="E78" s="8"/>
      <c r="F78" s="5"/>
      <c r="G78" s="7"/>
      <c r="H78" s="8"/>
      <c r="I78" s="5"/>
      <c r="J78" s="5"/>
    </row>
    <row r="79" spans="4:10" ht="15.75">
      <c r="D79" s="7"/>
      <c r="E79" s="8"/>
      <c r="F79" s="5"/>
      <c r="G79" s="7"/>
      <c r="H79" s="8"/>
      <c r="I79" s="5"/>
      <c r="J79" s="5"/>
    </row>
    <row r="80" spans="4:10" ht="15.75">
      <c r="D80" s="7"/>
      <c r="E80" s="8"/>
      <c r="F80" s="5"/>
      <c r="G80" s="7"/>
      <c r="H80" s="8"/>
      <c r="I80" s="5"/>
      <c r="J80" s="5"/>
    </row>
    <row r="81" spans="4:10" ht="15.75">
      <c r="D81" s="7"/>
      <c r="E81" s="8"/>
      <c r="F81" s="5"/>
      <c r="G81" s="7"/>
      <c r="H81" s="8"/>
      <c r="I81" s="5"/>
      <c r="J81" s="5"/>
    </row>
    <row r="82" spans="4:10" ht="15.75">
      <c r="D82" s="7"/>
      <c r="E82" s="8"/>
      <c r="F82" s="5"/>
      <c r="G82" s="7"/>
      <c r="H82" s="8"/>
      <c r="I82" s="5"/>
      <c r="J82" s="5"/>
    </row>
    <row r="83" spans="4:10" ht="15.75">
      <c r="D83" s="7"/>
      <c r="E83" s="8"/>
      <c r="F83" s="5"/>
      <c r="G83" s="7"/>
      <c r="H83" s="8"/>
      <c r="I83" s="5"/>
      <c r="J83" s="5"/>
    </row>
    <row r="84" spans="4:10" ht="15.75">
      <c r="D84" s="7"/>
      <c r="E84" s="8"/>
      <c r="F84" s="5"/>
      <c r="G84" s="7"/>
      <c r="H84" s="8"/>
      <c r="I84" s="5"/>
      <c r="J84" s="5"/>
    </row>
    <row r="85" spans="4:10" ht="15.75">
      <c r="D85" s="7"/>
      <c r="E85" s="8"/>
      <c r="F85" s="5"/>
      <c r="G85" s="7"/>
      <c r="H85" s="8"/>
      <c r="I85" s="5"/>
      <c r="J85" s="5"/>
    </row>
    <row r="86" spans="4:10" ht="15.75">
      <c r="D86" s="7"/>
      <c r="E86" s="8"/>
      <c r="F86" s="5"/>
      <c r="G86" s="7"/>
      <c r="H86" s="8"/>
      <c r="I86" s="5"/>
      <c r="J86" s="5"/>
    </row>
    <row r="87" spans="4:10" ht="15.75">
      <c r="D87" s="7"/>
      <c r="E87" s="8"/>
      <c r="F87" s="5"/>
      <c r="G87" s="7"/>
      <c r="H87" s="8"/>
      <c r="I87" s="5"/>
      <c r="J87" s="5"/>
    </row>
    <row r="88" spans="4:10" ht="15.75">
      <c r="D88" s="7"/>
      <c r="E88" s="8"/>
      <c r="F88" s="5"/>
      <c r="G88" s="7"/>
      <c r="H88" s="8"/>
      <c r="I88" s="5"/>
      <c r="J88" s="5"/>
    </row>
    <row r="89" ht="15.75">
      <c r="H89" s="12"/>
    </row>
    <row r="90" ht="15.75">
      <c r="H90" s="12"/>
    </row>
    <row r="91" ht="15.75">
      <c r="H91" s="12"/>
    </row>
    <row r="92" ht="15.75">
      <c r="H92" s="12"/>
    </row>
    <row r="93" ht="15.75">
      <c r="H93" s="12"/>
    </row>
    <row r="94" ht="15.75">
      <c r="H94" s="12"/>
    </row>
    <row r="95" ht="15.75">
      <c r="H95" s="12"/>
    </row>
    <row r="96" ht="15.75">
      <c r="H96" s="12"/>
    </row>
    <row r="97" ht="15.75">
      <c r="H97" s="12"/>
    </row>
    <row r="98" ht="15.75">
      <c r="H98" s="12"/>
    </row>
    <row r="99" ht="15.75">
      <c r="H99" s="12"/>
    </row>
    <row r="100" ht="15.75">
      <c r="H100" s="12"/>
    </row>
    <row r="101" ht="15.75">
      <c r="H101" s="12"/>
    </row>
    <row r="102" ht="15.75">
      <c r="H102" s="12"/>
    </row>
    <row r="103" ht="15.75">
      <c r="H103" s="12"/>
    </row>
    <row r="104" ht="15.75">
      <c r="H104" s="12"/>
    </row>
    <row r="105" ht="15.75">
      <c r="H105" s="12"/>
    </row>
    <row r="106" ht="15.75">
      <c r="H106" s="12"/>
    </row>
    <row r="107" ht="15.75">
      <c r="H107" s="12"/>
    </row>
    <row r="108" ht="15.75">
      <c r="H108" s="12"/>
    </row>
    <row r="109" ht="15.75">
      <c r="H109" s="12"/>
    </row>
    <row r="110" ht="15.75">
      <c r="H110" s="12"/>
    </row>
    <row r="111" ht="15.75">
      <c r="H111" s="12"/>
    </row>
    <row r="112" ht="15.75">
      <c r="H112" s="12"/>
    </row>
    <row r="113" ht="15.75">
      <c r="H113" s="12"/>
    </row>
    <row r="114" ht="15.75">
      <c r="H114" s="12"/>
    </row>
    <row r="115" ht="15.75">
      <c r="H115" s="12"/>
    </row>
    <row r="116" ht="15.75">
      <c r="H116" s="12"/>
    </row>
    <row r="117" ht="15.75">
      <c r="H117" s="12"/>
    </row>
    <row r="118" ht="15.75">
      <c r="H118" s="12"/>
    </row>
    <row r="119" ht="15.75">
      <c r="H119" s="12"/>
    </row>
    <row r="120" ht="15.75">
      <c r="H120" s="12"/>
    </row>
    <row r="121" ht="15.75">
      <c r="H121" s="12"/>
    </row>
    <row r="122" ht="15.75">
      <c r="H122" s="12"/>
    </row>
    <row r="123" ht="15.75">
      <c r="H123" s="12"/>
    </row>
    <row r="124" ht="15.75">
      <c r="H124" s="12"/>
    </row>
    <row r="125" ht="15.75">
      <c r="H125" s="12"/>
    </row>
    <row r="126" ht="15.75">
      <c r="H126" s="12"/>
    </row>
    <row r="127" ht="15.75">
      <c r="H127" s="12"/>
    </row>
    <row r="128" ht="15.75">
      <c r="H128" s="12"/>
    </row>
    <row r="129" ht="15.75">
      <c r="H129" s="12"/>
    </row>
    <row r="130" ht="15.75">
      <c r="H130" s="12"/>
    </row>
    <row r="131" ht="15.75">
      <c r="H131" s="12"/>
    </row>
    <row r="132" ht="15.75">
      <c r="H132" s="12"/>
    </row>
    <row r="133" ht="15.75">
      <c r="H133" s="12"/>
    </row>
    <row r="134" ht="15.75">
      <c r="H134" s="12"/>
    </row>
    <row r="135" ht="15.75">
      <c r="H135" s="12"/>
    </row>
    <row r="136" ht="15.75">
      <c r="H136" s="12"/>
    </row>
    <row r="137" ht="15.75">
      <c r="H137" s="12"/>
    </row>
    <row r="138" ht="15.75">
      <c r="H138" s="12"/>
    </row>
    <row r="139" ht="15.75">
      <c r="H139" s="12"/>
    </row>
    <row r="140" ht="15.75">
      <c r="H140" s="12"/>
    </row>
    <row r="141" ht="15.75">
      <c r="H141" s="12"/>
    </row>
    <row r="142" ht="15.75">
      <c r="H142" s="12"/>
    </row>
    <row r="143" ht="15.75">
      <c r="H143" s="12"/>
    </row>
  </sheetData>
  <printOptions/>
  <pageMargins left="0.35433070866141736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="80" zoomScaleNormal="8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0" sqref="B40"/>
    </sheetView>
  </sheetViews>
  <sheetFormatPr defaultColWidth="9.00390625" defaultRowHeight="15.75"/>
  <cols>
    <col min="1" max="1" width="6.50390625" style="10" customWidth="1"/>
    <col min="2" max="2" width="39.50390625" style="5" customWidth="1"/>
    <col min="3" max="3" width="9.00390625" style="5" customWidth="1"/>
    <col min="4" max="4" width="16.75390625" style="7" customWidth="1"/>
    <col min="5" max="5" width="10.50390625" style="5" customWidth="1"/>
    <col min="6" max="6" width="17.375" style="7" customWidth="1"/>
    <col min="7" max="16384" width="9.00390625" style="5" customWidth="1"/>
  </cols>
  <sheetData>
    <row r="1" ht="15">
      <c r="A1" s="22" t="s">
        <v>0</v>
      </c>
    </row>
    <row r="2" ht="15">
      <c r="A2" s="23" t="s">
        <v>59</v>
      </c>
    </row>
    <row r="4" spans="4:6" ht="15">
      <c r="D4" s="8" t="s">
        <v>60</v>
      </c>
      <c r="F4" s="8" t="s">
        <v>61</v>
      </c>
    </row>
    <row r="5" spans="4:6" ht="15">
      <c r="D5" s="8" t="s">
        <v>19</v>
      </c>
      <c r="F5" s="8" t="s">
        <v>62</v>
      </c>
    </row>
    <row r="6" spans="4:6" ht="15">
      <c r="D6" s="8" t="s">
        <v>24</v>
      </c>
      <c r="F6" s="8" t="s">
        <v>63</v>
      </c>
    </row>
    <row r="7" spans="4:6" ht="15">
      <c r="D7" s="8" t="s">
        <v>206</v>
      </c>
      <c r="F7" s="8" t="s">
        <v>200</v>
      </c>
    </row>
    <row r="8" spans="4:6" s="10" customFormat="1" ht="15">
      <c r="D8" s="8" t="s">
        <v>27</v>
      </c>
      <c r="F8" s="8" t="s">
        <v>27</v>
      </c>
    </row>
    <row r="10" spans="1:6" ht="15">
      <c r="A10" s="10">
        <v>1</v>
      </c>
      <c r="B10" s="5" t="s">
        <v>164</v>
      </c>
      <c r="D10" s="7">
        <v>204119</v>
      </c>
      <c r="F10" s="7">
        <v>207332</v>
      </c>
    </row>
    <row r="11" spans="1:6" ht="15">
      <c r="A11" s="10">
        <v>2</v>
      </c>
      <c r="B11" s="5" t="s">
        <v>165</v>
      </c>
      <c r="D11" s="7">
        <v>0</v>
      </c>
      <c r="F11" s="7">
        <v>0</v>
      </c>
    </row>
    <row r="12" spans="1:6" ht="15">
      <c r="A12" s="10">
        <v>3</v>
      </c>
      <c r="B12" s="5" t="s">
        <v>166</v>
      </c>
      <c r="D12" s="7">
        <v>0</v>
      </c>
      <c r="F12" s="7">
        <v>0</v>
      </c>
    </row>
    <row r="13" spans="1:6" ht="15">
      <c r="A13" s="10">
        <v>4</v>
      </c>
      <c r="B13" s="5" t="s">
        <v>167</v>
      </c>
      <c r="D13" s="7">
        <v>0</v>
      </c>
      <c r="E13" s="7"/>
      <c r="F13" s="7">
        <v>0</v>
      </c>
    </row>
    <row r="14" spans="1:6" ht="15">
      <c r="A14" s="10">
        <v>5</v>
      </c>
      <c r="B14" s="5" t="s">
        <v>168</v>
      </c>
      <c r="D14" s="7">
        <v>0</v>
      </c>
      <c r="F14" s="7">
        <v>0</v>
      </c>
    </row>
    <row r="15" spans="1:6" ht="15">
      <c r="A15" s="10">
        <v>6</v>
      </c>
      <c r="B15" s="5" t="s">
        <v>169</v>
      </c>
      <c r="D15" s="7">
        <v>0</v>
      </c>
      <c r="F15" s="7">
        <v>0</v>
      </c>
    </row>
    <row r="17" spans="2:6" ht="15">
      <c r="B17" s="5" t="s">
        <v>203</v>
      </c>
      <c r="D17" s="7">
        <v>0</v>
      </c>
      <c r="F17" s="7">
        <v>0</v>
      </c>
    </row>
    <row r="18" spans="1:6" ht="15">
      <c r="A18" s="10">
        <v>7</v>
      </c>
      <c r="B18" s="5" t="s">
        <v>170</v>
      </c>
      <c r="D18" s="7">
        <v>0</v>
      </c>
      <c r="F18" s="7">
        <v>0</v>
      </c>
    </row>
    <row r="19" spans="1:2" ht="15">
      <c r="A19" s="10">
        <v>8</v>
      </c>
      <c r="B19" s="5" t="s">
        <v>171</v>
      </c>
    </row>
    <row r="20" spans="2:6" ht="15">
      <c r="B20" s="44" t="s">
        <v>172</v>
      </c>
      <c r="D20" s="7">
        <v>35931</v>
      </c>
      <c r="F20" s="7">
        <v>31813</v>
      </c>
    </row>
    <row r="21" spans="2:6" ht="15">
      <c r="B21" s="44" t="s">
        <v>173</v>
      </c>
      <c r="D21" s="7">
        <v>99726</v>
      </c>
      <c r="F21" s="7">
        <v>89984</v>
      </c>
    </row>
    <row r="22" spans="2:6" ht="15">
      <c r="B22" s="44" t="s">
        <v>174</v>
      </c>
      <c r="D22" s="7">
        <v>1841</v>
      </c>
      <c r="F22" s="7">
        <v>30186</v>
      </c>
    </row>
    <row r="23" spans="2:6" ht="15">
      <c r="B23" s="45" t="s">
        <v>175</v>
      </c>
      <c r="D23" s="7">
        <v>25037</v>
      </c>
      <c r="F23" s="7">
        <v>4007</v>
      </c>
    </row>
    <row r="24" spans="2:6" ht="15">
      <c r="B24" s="45" t="s">
        <v>176</v>
      </c>
      <c r="D24" s="7">
        <v>10393</v>
      </c>
      <c r="F24" s="7">
        <v>9960</v>
      </c>
    </row>
    <row r="25" spans="4:6" ht="15.75" thickBot="1">
      <c r="D25" s="46">
        <f>SUM(D20:D24)</f>
        <v>172928</v>
      </c>
      <c r="F25" s="46">
        <f>SUM(F20:F24)</f>
        <v>165950</v>
      </c>
    </row>
    <row r="26" spans="1:2" ht="15.75" thickTop="1">
      <c r="A26" s="10">
        <v>9</v>
      </c>
      <c r="B26" s="5" t="s">
        <v>64</v>
      </c>
    </row>
    <row r="27" spans="2:6" ht="15">
      <c r="B27" s="44" t="s">
        <v>177</v>
      </c>
      <c r="D27" s="7">
        <v>5671</v>
      </c>
      <c r="F27" s="7">
        <v>7425</v>
      </c>
    </row>
    <row r="28" spans="2:6" ht="15">
      <c r="B28" s="44" t="s">
        <v>178</v>
      </c>
      <c r="D28" s="7">
        <v>3491</v>
      </c>
      <c r="F28" s="7">
        <v>4427</v>
      </c>
    </row>
    <row r="29" spans="2:6" ht="15">
      <c r="B29" s="44" t="s">
        <v>179</v>
      </c>
      <c r="D29" s="7">
        <v>62147</v>
      </c>
      <c r="F29" s="7">
        <v>59670</v>
      </c>
    </row>
    <row r="30" spans="2:6" ht="15">
      <c r="B30" s="44" t="s">
        <v>180</v>
      </c>
      <c r="D30" s="7">
        <v>21</v>
      </c>
      <c r="F30" s="7">
        <v>21</v>
      </c>
    </row>
    <row r="31" spans="2:6" ht="15">
      <c r="B31" s="45" t="s">
        <v>288</v>
      </c>
      <c r="D31" s="7">
        <v>2600</v>
      </c>
      <c r="F31" s="7">
        <v>2600</v>
      </c>
    </row>
    <row r="32" spans="2:6" ht="15">
      <c r="B32" s="44" t="s">
        <v>176</v>
      </c>
      <c r="D32" s="7">
        <v>0</v>
      </c>
      <c r="F32" s="7">
        <v>0</v>
      </c>
    </row>
    <row r="33" spans="2:6" ht="15.75" thickBot="1">
      <c r="B33" s="44"/>
      <c r="D33" s="46">
        <f>SUM(D27:D32)</f>
        <v>73930</v>
      </c>
      <c r="F33" s="46">
        <f>SUM(F27:F31)</f>
        <v>74143</v>
      </c>
    </row>
    <row r="34" ht="15.75" thickTop="1">
      <c r="D34" s="47"/>
    </row>
    <row r="35" spans="1:6" ht="15">
      <c r="A35" s="10">
        <v>10</v>
      </c>
      <c r="B35" s="5" t="s">
        <v>65</v>
      </c>
      <c r="D35" s="7">
        <f>D25-D33</f>
        <v>98998</v>
      </c>
      <c r="F35" s="7">
        <f>F25-F33</f>
        <v>91807</v>
      </c>
    </row>
    <row r="36" spans="4:6" ht="15.75" thickBot="1">
      <c r="D36" s="46">
        <f>D10+D35+D13</f>
        <v>303117</v>
      </c>
      <c r="F36" s="46">
        <f>F10+F35+F13</f>
        <v>299139</v>
      </c>
    </row>
    <row r="37" ht="15.75" thickTop="1"/>
    <row r="38" spans="1:6" ht="15">
      <c r="A38" s="10">
        <v>11</v>
      </c>
      <c r="B38" s="5" t="s">
        <v>66</v>
      </c>
      <c r="D38" s="7">
        <f>SUM(D40:D46)</f>
        <v>228119</v>
      </c>
      <c r="F38" s="7">
        <f>SUM(F40:F46)</f>
        <v>219506</v>
      </c>
    </row>
    <row r="40" spans="2:6" ht="15">
      <c r="B40" s="48" t="s">
        <v>67</v>
      </c>
      <c r="C40" s="49"/>
      <c r="D40" s="50">
        <v>156000</v>
      </c>
      <c r="E40" s="49"/>
      <c r="F40" s="51">
        <v>156000</v>
      </c>
    </row>
    <row r="41" spans="2:6" ht="15">
      <c r="B41" s="52" t="s">
        <v>68</v>
      </c>
      <c r="C41" s="53"/>
      <c r="D41" s="47"/>
      <c r="E41" s="53"/>
      <c r="F41" s="54"/>
    </row>
    <row r="42" spans="2:6" ht="15">
      <c r="B42" s="52" t="s">
        <v>69</v>
      </c>
      <c r="C42" s="53"/>
      <c r="D42" s="47">
        <v>0</v>
      </c>
      <c r="E42" s="53"/>
      <c r="F42" s="54">
        <v>0</v>
      </c>
    </row>
    <row r="43" spans="2:6" ht="15">
      <c r="B43" s="52" t="s">
        <v>70</v>
      </c>
      <c r="C43" s="53"/>
      <c r="D43" s="47">
        <v>0</v>
      </c>
      <c r="E43" s="53"/>
      <c r="F43" s="54">
        <v>0</v>
      </c>
    </row>
    <row r="44" spans="2:6" ht="15">
      <c r="B44" s="52" t="s">
        <v>71</v>
      </c>
      <c r="C44" s="53"/>
      <c r="D44" s="47">
        <v>139</v>
      </c>
      <c r="E44" s="53"/>
      <c r="F44" s="54">
        <v>139</v>
      </c>
    </row>
    <row r="45" spans="2:6" ht="15">
      <c r="B45" s="52" t="s">
        <v>72</v>
      </c>
      <c r="C45" s="53"/>
      <c r="D45" s="47">
        <v>0</v>
      </c>
      <c r="E45" s="53"/>
      <c r="F45" s="54">
        <v>0</v>
      </c>
    </row>
    <row r="46" spans="2:6" ht="15">
      <c r="B46" s="52" t="s">
        <v>73</v>
      </c>
      <c r="C46" s="53"/>
      <c r="D46" s="47">
        <v>71980</v>
      </c>
      <c r="E46" s="53"/>
      <c r="F46" s="54">
        <v>63367</v>
      </c>
    </row>
    <row r="47" spans="2:6" ht="15">
      <c r="B47" s="55" t="s">
        <v>74</v>
      </c>
      <c r="C47" s="56"/>
      <c r="D47" s="57"/>
      <c r="E47" s="56"/>
      <c r="F47" s="58"/>
    </row>
    <row r="49" spans="1:6" ht="15">
      <c r="A49" s="10">
        <v>12</v>
      </c>
      <c r="B49" s="5" t="s">
        <v>75</v>
      </c>
      <c r="D49" s="7">
        <v>0</v>
      </c>
      <c r="F49" s="7">
        <v>0</v>
      </c>
    </row>
    <row r="50" spans="1:6" ht="15">
      <c r="A50" s="10">
        <v>13</v>
      </c>
      <c r="B50" s="5" t="s">
        <v>76</v>
      </c>
      <c r="D50" s="7">
        <v>74201</v>
      </c>
      <c r="F50" s="7">
        <v>78836</v>
      </c>
    </row>
    <row r="51" spans="1:6" ht="15">
      <c r="A51" s="10">
        <v>14</v>
      </c>
      <c r="B51" s="5" t="s">
        <v>181</v>
      </c>
      <c r="D51" s="7">
        <v>0</v>
      </c>
      <c r="F51" s="7">
        <v>0</v>
      </c>
    </row>
    <row r="52" spans="1:6" ht="15">
      <c r="A52" s="10">
        <v>15</v>
      </c>
      <c r="B52" s="5" t="s">
        <v>182</v>
      </c>
      <c r="D52" s="7">
        <v>797</v>
      </c>
      <c r="F52" s="7">
        <v>797</v>
      </c>
    </row>
    <row r="53" spans="4:6" ht="15.75" thickBot="1">
      <c r="D53" s="46">
        <f>SUM(D40:D52)</f>
        <v>303117</v>
      </c>
      <c r="F53" s="46">
        <f>SUM(F40:F46)+F50+F51+F52</f>
        <v>299139</v>
      </c>
    </row>
    <row r="54" ht="15.75" thickTop="1">
      <c r="D54" s="47"/>
    </row>
    <row r="55" spans="1:6" ht="15">
      <c r="A55" s="10">
        <v>16</v>
      </c>
      <c r="B55" s="5" t="s">
        <v>183</v>
      </c>
      <c r="D55" s="42">
        <f>D38/156000</f>
        <v>1.462301282051282</v>
      </c>
      <c r="E55" s="59"/>
      <c r="F55" s="42">
        <f>F38/156000</f>
        <v>1.4070897435897436</v>
      </c>
    </row>
  </sheetData>
  <printOptions/>
  <pageMargins left="0.5511811023622047" right="0.35433070866141736" top="0.3937007874015748" bottom="0.3937007874015748" header="0.11811023622047245" footer="0.11811023622047245"/>
  <pageSetup horizontalDpi="180" verticalDpi="18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6"/>
  <sheetViews>
    <sheetView zoomScale="90" zoomScaleNormal="90" workbookViewId="0" topLeftCell="E16">
      <selection activeCell="G28" sqref="G28"/>
    </sheetView>
  </sheetViews>
  <sheetFormatPr defaultColWidth="9.00390625" defaultRowHeight="15.75"/>
  <cols>
    <col min="2" max="2" width="9.00390625" style="5" customWidth="1"/>
    <col min="3" max="3" width="14.625" style="0" customWidth="1"/>
    <col min="4" max="4" width="5.125" style="0" customWidth="1"/>
    <col min="5" max="5" width="15.625" style="61" customWidth="1"/>
    <col min="6" max="6" width="14.375" style="61" customWidth="1"/>
    <col min="7" max="7" width="13.75390625" style="61" customWidth="1"/>
    <col min="8" max="8" width="15.50390625" style="0" customWidth="1"/>
  </cols>
  <sheetData>
    <row r="2" ht="15.75">
      <c r="B2" s="13" t="s">
        <v>208</v>
      </c>
    </row>
    <row r="3" ht="15.75">
      <c r="B3" s="13"/>
    </row>
    <row r="4" spans="5:8" ht="15.75">
      <c r="E4" s="61" t="s">
        <v>77</v>
      </c>
      <c r="F4" s="27" t="s">
        <v>77</v>
      </c>
      <c r="G4" s="61" t="s">
        <v>78</v>
      </c>
      <c r="H4" s="24" t="s">
        <v>83</v>
      </c>
    </row>
    <row r="5" spans="2:8" ht="18">
      <c r="B5" s="38" t="s">
        <v>190</v>
      </c>
      <c r="E5" s="28" t="s">
        <v>79</v>
      </c>
      <c r="F5" s="28" t="s">
        <v>80</v>
      </c>
      <c r="G5" s="28" t="s">
        <v>79</v>
      </c>
      <c r="H5" s="29" t="s">
        <v>81</v>
      </c>
    </row>
    <row r="6" spans="2:8" ht="15.75">
      <c r="B6" s="5" t="s">
        <v>191</v>
      </c>
      <c r="E6" s="61">
        <v>8000000</v>
      </c>
      <c r="F6" s="61">
        <v>0</v>
      </c>
      <c r="G6" s="27">
        <v>3500000</v>
      </c>
      <c r="H6" s="30">
        <f aca="true" t="shared" si="0" ref="H6:H11">SUM(E6:G6)</f>
        <v>11500000</v>
      </c>
    </row>
    <row r="7" spans="2:8" ht="15.75">
      <c r="B7" s="5" t="s">
        <v>192</v>
      </c>
      <c r="E7" s="61">
        <v>0</v>
      </c>
      <c r="F7" s="61">
        <v>0</v>
      </c>
      <c r="G7" s="27">
        <v>0</v>
      </c>
      <c r="H7" s="30">
        <f t="shared" si="0"/>
        <v>0</v>
      </c>
    </row>
    <row r="8" spans="2:8" ht="15.75">
      <c r="B8" s="5" t="s">
        <v>146</v>
      </c>
      <c r="G8" s="27">
        <v>2432000</v>
      </c>
      <c r="H8" s="30">
        <f t="shared" si="0"/>
        <v>2432000</v>
      </c>
    </row>
    <row r="9" spans="2:8" s="26" customFormat="1" ht="15.75">
      <c r="B9" s="5" t="s">
        <v>193</v>
      </c>
      <c r="E9" s="27">
        <v>15000000</v>
      </c>
      <c r="F9" s="27">
        <v>0</v>
      </c>
      <c r="G9" s="27">
        <v>0</v>
      </c>
      <c r="H9" s="30">
        <f t="shared" si="0"/>
        <v>15000000</v>
      </c>
    </row>
    <row r="10" spans="2:8" s="26" customFormat="1" ht="15.75">
      <c r="B10" s="5" t="s">
        <v>194</v>
      </c>
      <c r="E10" s="27">
        <v>0</v>
      </c>
      <c r="F10" s="27">
        <v>5000000</v>
      </c>
      <c r="G10" s="27"/>
      <c r="H10" s="30">
        <f t="shared" si="0"/>
        <v>5000000</v>
      </c>
    </row>
    <row r="11" spans="2:8" s="26" customFormat="1" ht="15.75">
      <c r="B11" s="5" t="s">
        <v>195</v>
      </c>
      <c r="E11" s="27">
        <v>979243.11</v>
      </c>
      <c r="F11" s="27">
        <v>0</v>
      </c>
      <c r="G11" s="27">
        <v>150110.49</v>
      </c>
      <c r="H11" s="30">
        <f t="shared" si="0"/>
        <v>1129353.6</v>
      </c>
    </row>
    <row r="12" spans="2:8" s="26" customFormat="1" ht="15.75">
      <c r="B12" s="5" t="s">
        <v>202</v>
      </c>
      <c r="E12" s="27">
        <v>1247400</v>
      </c>
      <c r="F12" s="27">
        <v>0</v>
      </c>
      <c r="G12" s="27">
        <v>0</v>
      </c>
      <c r="H12" s="30">
        <f>SUM(E12:G12)</f>
        <v>1247400</v>
      </c>
    </row>
    <row r="13" spans="2:8" s="26" customFormat="1" ht="15.75">
      <c r="B13" s="5" t="s">
        <v>82</v>
      </c>
      <c r="E13" s="27">
        <v>0</v>
      </c>
      <c r="F13" s="27">
        <v>0</v>
      </c>
      <c r="G13" s="27">
        <v>50000.4</v>
      </c>
      <c r="H13" s="30">
        <f>SUM(E13:G13)</f>
        <v>50000.4</v>
      </c>
    </row>
    <row r="14" spans="2:8" ht="15.75">
      <c r="B14" s="5" t="s">
        <v>196</v>
      </c>
      <c r="E14" s="61">
        <v>11130000</v>
      </c>
      <c r="F14" s="61">
        <v>13138000</v>
      </c>
      <c r="G14" s="61">
        <v>0</v>
      </c>
      <c r="H14" s="30">
        <f>SUM(E14:G14)</f>
        <v>24268000</v>
      </c>
    </row>
    <row r="15" spans="2:8" ht="15.75">
      <c r="B15" s="5" t="s">
        <v>197</v>
      </c>
      <c r="E15" s="61">
        <v>1519980.24</v>
      </c>
      <c r="F15" s="61">
        <v>0</v>
      </c>
      <c r="G15" s="61">
        <v>0</v>
      </c>
      <c r="H15" s="30">
        <f>SUM(E15:G15)</f>
        <v>1519980.24</v>
      </c>
    </row>
    <row r="16" spans="5:8" ht="16.5" thickBot="1">
      <c r="E16" s="62">
        <f>SUM(E6:E15)</f>
        <v>37876623.35</v>
      </c>
      <c r="F16" s="62">
        <f>SUM(F6:F15)</f>
        <v>18138000</v>
      </c>
      <c r="G16" s="62">
        <f>SUM(G6:G15)</f>
        <v>6132110.890000001</v>
      </c>
      <c r="H16" s="62">
        <f>SUM(H6:H15)</f>
        <v>62146734.24</v>
      </c>
    </row>
    <row r="17" ht="16.5" thickTop="1"/>
    <row r="18" ht="15.75">
      <c r="B18" s="38" t="s">
        <v>198</v>
      </c>
    </row>
    <row r="19" spans="2:8" ht="15.75">
      <c r="B19" s="5" t="s">
        <v>197</v>
      </c>
      <c r="E19" s="61">
        <v>2655718.19</v>
      </c>
      <c r="F19" s="61">
        <v>0</v>
      </c>
      <c r="G19" s="61">
        <v>0</v>
      </c>
      <c r="H19" s="30">
        <f>SUM(E19:G19)</f>
        <v>2655718.19</v>
      </c>
    </row>
    <row r="20" spans="2:8" ht="15.75">
      <c r="B20" s="5" t="s">
        <v>82</v>
      </c>
      <c r="E20" s="61">
        <v>0</v>
      </c>
      <c r="F20" s="61">
        <v>0</v>
      </c>
      <c r="G20" s="61">
        <v>99999.72</v>
      </c>
      <c r="H20" s="30">
        <f>SUM(E20:G20)</f>
        <v>99999.72</v>
      </c>
    </row>
    <row r="21" spans="2:8" ht="15.75">
      <c r="B21" s="5" t="s">
        <v>199</v>
      </c>
      <c r="E21" s="61">
        <v>6444900</v>
      </c>
      <c r="F21" s="61">
        <v>0</v>
      </c>
      <c r="G21" s="61">
        <v>0</v>
      </c>
      <c r="H21" s="30">
        <f>SUM(E21:G21)</f>
        <v>6444900</v>
      </c>
    </row>
    <row r="22" spans="2:8" ht="15.75">
      <c r="B22" s="5" t="s">
        <v>145</v>
      </c>
      <c r="E22" s="61">
        <v>0</v>
      </c>
      <c r="F22" s="61">
        <v>0</v>
      </c>
      <c r="G22" s="61">
        <v>0</v>
      </c>
      <c r="H22" s="30">
        <f>SUM(E22:G22)</f>
        <v>0</v>
      </c>
    </row>
    <row r="23" spans="2:8" ht="15.75">
      <c r="B23" s="5" t="s">
        <v>118</v>
      </c>
      <c r="E23" s="61">
        <v>0</v>
      </c>
      <c r="F23" s="61">
        <v>65000000</v>
      </c>
      <c r="G23" s="61">
        <v>0</v>
      </c>
      <c r="H23" s="30">
        <f>SUM(E23:G23)</f>
        <v>65000000</v>
      </c>
    </row>
    <row r="24" spans="5:8" ht="16.5" thickBot="1">
      <c r="E24" s="62">
        <f>SUM(E19:E23)</f>
        <v>9100618.19</v>
      </c>
      <c r="F24" s="62">
        <f>SUM(F19:F23)</f>
        <v>65000000</v>
      </c>
      <c r="G24" s="62">
        <f>SUM(G19:G23)</f>
        <v>99999.72</v>
      </c>
      <c r="H24" s="62">
        <f>SUM(H19:H23)</f>
        <v>74200617.91</v>
      </c>
    </row>
    <row r="25" ht="16.5" thickTop="1"/>
    <row r="26" spans="5:8" ht="16.5" thickBot="1">
      <c r="E26" s="63">
        <f>E16+E24</f>
        <v>46977241.54</v>
      </c>
      <c r="F26" s="63">
        <f>F16+F24</f>
        <v>83138000</v>
      </c>
      <c r="G26" s="63">
        <f>G16+G24</f>
        <v>6232110.61</v>
      </c>
      <c r="H26" s="63">
        <f>H16+H24</f>
        <v>136347352.15</v>
      </c>
    </row>
  </sheetData>
  <printOptions/>
  <pageMargins left="0.15748031496062992" right="0.35433070866141736" top="0.5905511811023623" bottom="0.5905511811023623" header="0.5118110236220472" footer="0.5118110236220472"/>
  <pageSetup horizontalDpi="180" verticalDpi="18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95" zoomScaleNormal="95" workbookViewId="0" topLeftCell="A1">
      <selection activeCell="D9" sqref="D9"/>
    </sheetView>
  </sheetViews>
  <sheetFormatPr defaultColWidth="9.00390625" defaultRowHeight="15.75"/>
  <cols>
    <col min="1" max="1" width="3.875" style="0" customWidth="1"/>
    <col min="2" max="2" width="4.375" style="0" customWidth="1"/>
    <col min="4" max="4" width="25.125" style="0" customWidth="1"/>
    <col min="5" max="5" width="13.375" style="34" customWidth="1"/>
    <col min="6" max="6" width="3.625" style="34" customWidth="1"/>
    <col min="7" max="7" width="12.375" style="34" customWidth="1"/>
    <col min="8" max="8" width="11.50390625" style="34" customWidth="1"/>
    <col min="9" max="9" width="4.25390625" style="34" customWidth="1"/>
    <col min="10" max="10" width="11.75390625" style="34" customWidth="1"/>
    <col min="11" max="11" width="9.00390625" style="14" customWidth="1"/>
  </cols>
  <sheetData>
    <row r="1" ht="15.75">
      <c r="A1" s="32" t="s">
        <v>86</v>
      </c>
    </row>
    <row r="2" ht="15.75">
      <c r="A2" s="31" t="s">
        <v>209</v>
      </c>
    </row>
    <row r="3" spans="1:9" ht="15.75">
      <c r="A3" s="31"/>
      <c r="F3" s="35" t="s">
        <v>89</v>
      </c>
      <c r="I3" s="35" t="s">
        <v>90</v>
      </c>
    </row>
    <row r="4" spans="5:10" ht="15.75">
      <c r="E4" s="34" t="s">
        <v>91</v>
      </c>
      <c r="G4" s="34" t="s">
        <v>92</v>
      </c>
      <c r="H4" s="34" t="s">
        <v>91</v>
      </c>
      <c r="J4" s="34" t="s">
        <v>92</v>
      </c>
    </row>
    <row r="5" ht="15.75">
      <c r="B5" s="33" t="s">
        <v>85</v>
      </c>
    </row>
    <row r="6" spans="1:5" ht="15.75">
      <c r="A6" t="s">
        <v>87</v>
      </c>
      <c r="B6" t="s">
        <v>84</v>
      </c>
      <c r="E6" s="34">
        <v>299486</v>
      </c>
    </row>
    <row r="7" spans="2:5" ht="15.75">
      <c r="B7" t="s">
        <v>88</v>
      </c>
      <c r="E7" s="34">
        <v>3839666</v>
      </c>
    </row>
    <row r="8" spans="2:5" ht="15.75">
      <c r="B8" t="s">
        <v>93</v>
      </c>
      <c r="E8" s="34">
        <f>31250003+9507.6</f>
        <v>31259510.6</v>
      </c>
    </row>
    <row r="9" spans="3:7" ht="15.75">
      <c r="C9" t="s">
        <v>94</v>
      </c>
      <c r="G9" s="34">
        <f>25000000+10250003+9507.6</f>
        <v>35259510.6</v>
      </c>
    </row>
    <row r="10" spans="3:7" ht="15.75">
      <c r="C10" t="s">
        <v>95</v>
      </c>
      <c r="G10" s="34">
        <v>139152</v>
      </c>
    </row>
    <row r="11" ht="15.75">
      <c r="B11" t="s">
        <v>98</v>
      </c>
    </row>
    <row r="13" spans="1:5" ht="15.75">
      <c r="A13" t="s">
        <v>96</v>
      </c>
      <c r="B13" t="s">
        <v>97</v>
      </c>
      <c r="E13" s="34">
        <v>3839666</v>
      </c>
    </row>
    <row r="14" spans="3:7" ht="15.75">
      <c r="C14" t="s">
        <v>88</v>
      </c>
      <c r="G14" s="34">
        <v>3839666</v>
      </c>
    </row>
    <row r="15" ht="15.75">
      <c r="B15" t="s">
        <v>100</v>
      </c>
    </row>
    <row r="17" spans="1:8" ht="15.75">
      <c r="A17" t="s">
        <v>99</v>
      </c>
      <c r="B17" t="s">
        <v>101</v>
      </c>
      <c r="H17" s="34">
        <v>45710.31</v>
      </c>
    </row>
    <row r="18" spans="4:8" ht="15.75">
      <c r="D18" t="s">
        <v>102</v>
      </c>
      <c r="H18" s="34">
        <f>182841.24*4+45710.31</f>
        <v>777075.27</v>
      </c>
    </row>
    <row r="19" spans="3:7" ht="15.75">
      <c r="C19" t="s">
        <v>103</v>
      </c>
      <c r="G19" s="34">
        <f>H18+H17</f>
        <v>822785.5800000001</v>
      </c>
    </row>
    <row r="20" ht="15.75">
      <c r="B20" t="s">
        <v>104</v>
      </c>
    </row>
    <row r="21" ht="15.75">
      <c r="B21" t="s">
        <v>105</v>
      </c>
    </row>
    <row r="24" ht="15.75">
      <c r="B24" s="33" t="s">
        <v>149</v>
      </c>
    </row>
    <row r="25" spans="1:8" ht="15.75">
      <c r="A25" t="s">
        <v>106</v>
      </c>
      <c r="B25" t="s">
        <v>151</v>
      </c>
      <c r="H25" s="34">
        <v>108000</v>
      </c>
    </row>
    <row r="26" spans="2:8" ht="15.75">
      <c r="B26" t="s">
        <v>150</v>
      </c>
      <c r="H26" s="34">
        <v>15000</v>
      </c>
    </row>
    <row r="27" spans="3:10" ht="15.75">
      <c r="C27" t="s">
        <v>107</v>
      </c>
      <c r="J27" s="34">
        <f>H25+H26</f>
        <v>123000</v>
      </c>
    </row>
    <row r="28" ht="15.75">
      <c r="B28" t="s">
        <v>108</v>
      </c>
    </row>
    <row r="29" ht="15.75">
      <c r="B29" t="s">
        <v>211</v>
      </c>
    </row>
    <row r="31" spans="1:8" ht="15.75">
      <c r="A31" t="s">
        <v>109</v>
      </c>
      <c r="B31" t="s">
        <v>148</v>
      </c>
      <c r="H31" s="34">
        <v>3436240</v>
      </c>
    </row>
    <row r="32" spans="2:8" ht="15.75">
      <c r="B32" t="s">
        <v>147</v>
      </c>
      <c r="H32" s="34">
        <v>344000</v>
      </c>
    </row>
    <row r="33" spans="3:10" ht="15.75">
      <c r="C33" t="s">
        <v>110</v>
      </c>
      <c r="J33" s="34">
        <f>H31+H32</f>
        <v>3780240</v>
      </c>
    </row>
    <row r="34" ht="15.75">
      <c r="B34" t="s">
        <v>111</v>
      </c>
    </row>
    <row r="36" spans="1:2" ht="15.75">
      <c r="A36" t="s">
        <v>112</v>
      </c>
      <c r="B36" t="s">
        <v>113</v>
      </c>
    </row>
    <row r="37" spans="3:5" ht="15.75">
      <c r="C37" s="36" t="s">
        <v>114</v>
      </c>
      <c r="E37" s="34">
        <v>3665415.71</v>
      </c>
    </row>
    <row r="38" spans="3:5" ht="15.75">
      <c r="C38" s="36" t="s">
        <v>115</v>
      </c>
      <c r="E38" s="34">
        <v>416792.38</v>
      </c>
    </row>
    <row r="39" spans="2:7" ht="15.75">
      <c r="B39" t="s">
        <v>116</v>
      </c>
      <c r="G39" s="34">
        <f>E37+E38</f>
        <v>4082208.09</v>
      </c>
    </row>
    <row r="40" ht="15.75">
      <c r="B40" t="s">
        <v>117</v>
      </c>
    </row>
  </sheetData>
  <printOptions/>
  <pageMargins left="0.35433070866141736" right="0.35433070866141736" top="0.7874015748031497" bottom="0.5905511811023623" header="0.31496062992125984" footer="0.31496062992125984"/>
  <pageSetup horizontalDpi="180" verticalDpi="18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="90" zoomScaleNormal="90" workbookViewId="0" topLeftCell="A14">
      <selection activeCell="D25" sqref="D25"/>
    </sheetView>
  </sheetViews>
  <sheetFormatPr defaultColWidth="9.00390625" defaultRowHeight="15.75"/>
  <cols>
    <col min="1" max="1" width="7.50390625" style="5" customWidth="1"/>
    <col min="2" max="2" width="43.375" style="5" customWidth="1"/>
    <col min="3" max="3" width="9.00390625" style="5" customWidth="1"/>
    <col min="4" max="4" width="16.50390625" style="5" customWidth="1"/>
    <col min="5" max="16384" width="9.00390625" style="5" customWidth="1"/>
  </cols>
  <sheetData>
    <row r="1" ht="15">
      <c r="B1" s="11" t="s">
        <v>184</v>
      </c>
    </row>
    <row r="2" spans="1:4" ht="15">
      <c r="A2" s="10">
        <v>8</v>
      </c>
      <c r="B2" s="13" t="s">
        <v>210</v>
      </c>
      <c r="D2" s="21"/>
    </row>
    <row r="3" ht="17.25">
      <c r="D3" s="39" t="s">
        <v>152</v>
      </c>
    </row>
    <row r="4" ht="17.25">
      <c r="D4" s="39"/>
    </row>
    <row r="5" spans="2:6" ht="15.75">
      <c r="B5" t="s">
        <v>153</v>
      </c>
      <c r="C5"/>
      <c r="D5" s="41">
        <f>68030+17381</f>
        <v>85411</v>
      </c>
      <c r="E5"/>
      <c r="F5" s="24"/>
    </row>
    <row r="6" spans="2:6" ht="15.75">
      <c r="B6" s="2" t="s">
        <v>154</v>
      </c>
      <c r="C6"/>
      <c r="D6" s="41">
        <f>9972398.76+30450</f>
        <v>10002848.76</v>
      </c>
      <c r="E6"/>
      <c r="F6" s="24"/>
    </row>
    <row r="7" spans="2:6" ht="15.75">
      <c r="B7" t="s">
        <v>155</v>
      </c>
      <c r="C7"/>
      <c r="D7" s="41">
        <f>226814.83</f>
        <v>226814.83</v>
      </c>
      <c r="E7"/>
      <c r="F7" s="24"/>
    </row>
    <row r="8" spans="2:6" ht="15.75">
      <c r="B8" t="s">
        <v>156</v>
      </c>
      <c r="C8"/>
      <c r="D8" s="41">
        <f>49341.78</f>
        <v>49341.78</v>
      </c>
      <c r="E8"/>
      <c r="F8" s="24"/>
    </row>
    <row r="9" spans="2:6" ht="15.75">
      <c r="B9" t="s">
        <v>157</v>
      </c>
      <c r="C9"/>
      <c r="D9" s="41">
        <v>28694.18</v>
      </c>
      <c r="E9"/>
      <c r="F9" s="24"/>
    </row>
    <row r="10" ht="15.75" thickBot="1">
      <c r="D10" s="40">
        <f>SUM(D5:D9)</f>
        <v>10393110.549999999</v>
      </c>
    </row>
    <row r="11" ht="15.75" thickTop="1">
      <c r="D11" s="21"/>
    </row>
    <row r="13" spans="1:2" ht="15">
      <c r="A13" s="10">
        <v>9</v>
      </c>
      <c r="B13" s="11" t="s">
        <v>187</v>
      </c>
    </row>
    <row r="14" ht="15">
      <c r="B14" s="13" t="s">
        <v>189</v>
      </c>
    </row>
    <row r="16" spans="2:4" ht="15">
      <c r="B16" s="5" t="s">
        <v>158</v>
      </c>
      <c r="D16" s="42">
        <f>1838677.06+35323.5+24947.32+920</f>
        <v>1899867.8800000001</v>
      </c>
    </row>
    <row r="17" spans="2:4" ht="15">
      <c r="B17" s="5" t="s">
        <v>159</v>
      </c>
      <c r="D17" s="42">
        <f>634409.59+43000+26000</f>
        <v>703409.59</v>
      </c>
    </row>
    <row r="18" spans="2:4" ht="15">
      <c r="B18" s="5" t="s">
        <v>160</v>
      </c>
      <c r="D18" s="42">
        <f>798627.94</f>
        <v>798627.94</v>
      </c>
    </row>
    <row r="19" spans="2:4" ht="15">
      <c r="B19" s="5" t="s">
        <v>161</v>
      </c>
      <c r="D19" s="42">
        <v>75337</v>
      </c>
    </row>
    <row r="20" spans="2:4" ht="15">
      <c r="B20" s="5" t="s">
        <v>162</v>
      </c>
      <c r="D20" s="42">
        <v>11554.1</v>
      </c>
    </row>
    <row r="21" spans="2:4" ht="15">
      <c r="B21" s="5" t="s">
        <v>163</v>
      </c>
      <c r="D21" s="42">
        <v>2721.3</v>
      </c>
    </row>
    <row r="22" spans="2:4" ht="15">
      <c r="B22" s="5" t="s">
        <v>201</v>
      </c>
      <c r="D22" s="42">
        <v>0</v>
      </c>
    </row>
    <row r="23" ht="15.75" thickBot="1">
      <c r="D23" s="43">
        <f>SUM(D16:D22)</f>
        <v>3491517.81</v>
      </c>
    </row>
    <row r="24" ht="15.75" thickTop="1">
      <c r="D24" s="42"/>
    </row>
    <row r="26" ht="15" customHeight="1" hidden="1">
      <c r="B26" s="13" t="s">
        <v>185</v>
      </c>
    </row>
    <row r="27" spans="2:4" ht="15.75" customHeight="1" hidden="1" thickBot="1">
      <c r="B27" s="5" t="s">
        <v>186</v>
      </c>
      <c r="D27" s="60">
        <v>39000000</v>
      </c>
    </row>
    <row r="28" ht="15" customHeight="1" hidden="1"/>
  </sheetData>
  <printOptions/>
  <pageMargins left="0.75" right="0.75" top="1" bottom="1" header="0.5" footer="0.5"/>
  <pageSetup horizontalDpi="180" verticalDpi="18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xSplit="1" ySplit="3" topLeftCell="D29" activePane="bottomRight" state="frozen"/>
      <selection pane="topLeft" activeCell="A13" activeCellId="1" sqref="A10 A13"/>
      <selection pane="topRight" activeCell="A13" activeCellId="1" sqref="A10 A13"/>
      <selection pane="bottomLeft" activeCell="A13" activeCellId="1" sqref="A10 A13"/>
      <selection pane="bottomRight" activeCell="E31" sqref="E31"/>
    </sheetView>
  </sheetViews>
  <sheetFormatPr defaultColWidth="9.00390625" defaultRowHeight="15.75"/>
  <cols>
    <col min="1" max="1" width="45.125" style="5" customWidth="1"/>
    <col min="2" max="2" width="2.625" style="5" customWidth="1"/>
    <col min="3" max="3" width="15.875" style="5" customWidth="1"/>
    <col min="4" max="4" width="1.875" style="5" customWidth="1"/>
    <col min="5" max="5" width="16.125" style="5" customWidth="1"/>
    <col min="6" max="6" width="1.625" style="5" customWidth="1"/>
    <col min="7" max="7" width="14.375" style="5" customWidth="1"/>
    <col min="8" max="8" width="14.875" style="5" customWidth="1"/>
    <col min="9" max="9" width="14.375" style="5" customWidth="1"/>
    <col min="10" max="10" width="13.50390625" style="5" customWidth="1"/>
    <col min="11" max="11" width="1.12109375" style="5" customWidth="1"/>
    <col min="12" max="12" width="18.125" style="5" customWidth="1"/>
    <col min="13" max="16384" width="9.00390625" style="5" customWidth="1"/>
  </cols>
  <sheetData>
    <row r="1" ht="15">
      <c r="A1" s="64" t="s">
        <v>212</v>
      </c>
    </row>
    <row r="2" ht="15">
      <c r="A2" s="65" t="s">
        <v>213</v>
      </c>
    </row>
    <row r="4" ht="15">
      <c r="G4" s="66" t="s">
        <v>214</v>
      </c>
    </row>
    <row r="5" spans="3:12" s="14" customFormat="1" ht="12.75">
      <c r="C5" s="66" t="s">
        <v>215</v>
      </c>
      <c r="D5" s="19"/>
      <c r="E5" s="66" t="s">
        <v>216</v>
      </c>
      <c r="G5" s="66" t="s">
        <v>217</v>
      </c>
      <c r="H5" s="66" t="s">
        <v>218</v>
      </c>
      <c r="I5" s="66" t="s">
        <v>219</v>
      </c>
      <c r="J5" s="66" t="s">
        <v>220</v>
      </c>
      <c r="L5" s="67" t="s">
        <v>221</v>
      </c>
    </row>
    <row r="6" spans="1:12" ht="15">
      <c r="A6" s="14"/>
      <c r="C6" s="68"/>
      <c r="D6" s="10"/>
      <c r="I6" s="69" t="s">
        <v>222</v>
      </c>
      <c r="J6" s="69" t="s">
        <v>223</v>
      </c>
      <c r="L6" s="21"/>
    </row>
    <row r="7" spans="1:12" s="38" customFormat="1" ht="15">
      <c r="A7" s="70"/>
      <c r="C7" s="71" t="s">
        <v>224</v>
      </c>
      <c r="D7" s="72"/>
      <c r="E7" s="73" t="s">
        <v>224</v>
      </c>
      <c r="G7" s="73" t="s">
        <v>224</v>
      </c>
      <c r="H7" s="73" t="s">
        <v>224</v>
      </c>
      <c r="I7" s="73" t="s">
        <v>224</v>
      </c>
      <c r="J7" s="73" t="s">
        <v>224</v>
      </c>
      <c r="L7" s="74" t="s">
        <v>224</v>
      </c>
    </row>
    <row r="8" spans="1:12" ht="15">
      <c r="A8" s="14"/>
      <c r="C8" s="68"/>
      <c r="D8" s="10"/>
      <c r="L8" s="21"/>
    </row>
    <row r="9" spans="1:12" ht="15">
      <c r="A9" s="14"/>
      <c r="C9" s="75"/>
      <c r="D9" s="75"/>
      <c r="E9" s="75"/>
      <c r="F9" s="75"/>
      <c r="G9" s="75"/>
      <c r="H9" s="75"/>
      <c r="I9" s="75"/>
      <c r="J9" s="75"/>
      <c r="L9" s="21"/>
    </row>
    <row r="10" spans="1:12" ht="15">
      <c r="A10" s="64" t="s">
        <v>225</v>
      </c>
      <c r="C10" s="76">
        <v>45898550.96</v>
      </c>
      <c r="D10" s="76"/>
      <c r="E10" s="76">
        <v>3436240</v>
      </c>
      <c r="F10" s="76"/>
      <c r="G10" s="76">
        <v>344000</v>
      </c>
      <c r="H10" s="76">
        <f aca="true" t="shared" si="0" ref="H10:H35">SUM(C10:G10)</f>
        <v>49678790.96</v>
      </c>
      <c r="I10" s="76">
        <f>E10+G10</f>
        <v>3780240</v>
      </c>
      <c r="J10" s="76"/>
      <c r="L10" s="21">
        <f>SUM(H10-I10+J10)</f>
        <v>45898550.96</v>
      </c>
    </row>
    <row r="11" spans="1:12" ht="15">
      <c r="A11" s="14"/>
      <c r="C11" s="76"/>
      <c r="D11" s="76"/>
      <c r="E11" s="76"/>
      <c r="F11" s="76"/>
      <c r="G11" s="76"/>
      <c r="H11" s="76">
        <f t="shared" si="0"/>
        <v>0</v>
      </c>
      <c r="I11" s="76"/>
      <c r="J11" s="76"/>
      <c r="L11" s="21"/>
    </row>
    <row r="12" spans="1:12" ht="15">
      <c r="A12" s="77" t="s">
        <v>226</v>
      </c>
      <c r="C12" s="76"/>
      <c r="D12" s="76"/>
      <c r="E12" s="76"/>
      <c r="F12" s="76"/>
      <c r="G12" s="76"/>
      <c r="H12" s="76">
        <f t="shared" si="0"/>
        <v>0</v>
      </c>
      <c r="I12" s="76"/>
      <c r="J12" s="76"/>
      <c r="L12" s="21"/>
    </row>
    <row r="13" spans="1:12" ht="15">
      <c r="A13" s="14" t="s">
        <v>227</v>
      </c>
      <c r="C13" s="76">
        <v>2616976.62</v>
      </c>
      <c r="D13" s="76"/>
      <c r="E13" s="76">
        <v>0</v>
      </c>
      <c r="F13" s="76"/>
      <c r="G13" s="76">
        <v>0</v>
      </c>
      <c r="H13" s="76">
        <f t="shared" si="0"/>
        <v>2616976.62</v>
      </c>
      <c r="I13" s="76"/>
      <c r="J13" s="76"/>
      <c r="L13" s="21">
        <f>SUM(H13-I13+J13)</f>
        <v>2616976.62</v>
      </c>
    </row>
    <row r="14" spans="1:12" ht="15">
      <c r="A14" s="14" t="s">
        <v>228</v>
      </c>
      <c r="C14" s="76">
        <f>41934435.15-6246714.41-4050658.4</f>
        <v>31637062.339999996</v>
      </c>
      <c r="D14" s="76"/>
      <c r="E14" s="78">
        <f>3221391.03-188360.35</f>
        <v>3033030.6799999997</v>
      </c>
      <c r="F14" s="76"/>
      <c r="G14" s="78">
        <f>315604.96</f>
        <v>315604.96</v>
      </c>
      <c r="H14" s="78">
        <f t="shared" si="0"/>
        <v>34985697.98</v>
      </c>
      <c r="I14" s="76"/>
      <c r="J14" s="76">
        <f>I10+I24</f>
        <v>3903240</v>
      </c>
      <c r="L14" s="79">
        <f>H14+I14-J14</f>
        <v>31082457.979999997</v>
      </c>
    </row>
    <row r="15" spans="1:12" ht="15">
      <c r="A15" s="14"/>
      <c r="C15" s="80">
        <f>C13+C14</f>
        <v>34254038.95999999</v>
      </c>
      <c r="D15" s="80"/>
      <c r="E15" s="80">
        <f>E13+E14</f>
        <v>3033030.6799999997</v>
      </c>
      <c r="F15" s="81"/>
      <c r="G15" s="80">
        <f>G13+G14</f>
        <v>315604.96</v>
      </c>
      <c r="H15" s="76">
        <f t="shared" si="0"/>
        <v>37602674.599999994</v>
      </c>
      <c r="I15" s="76"/>
      <c r="J15" s="76"/>
      <c r="L15" s="21">
        <f>SUM(L13:L14)</f>
        <v>33699434.599999994</v>
      </c>
    </row>
    <row r="16" spans="1:12" ht="15">
      <c r="A16" s="14" t="s">
        <v>229</v>
      </c>
      <c r="C16" s="78">
        <v>-1926714.31</v>
      </c>
      <c r="D16" s="81"/>
      <c r="E16" s="78">
        <v>0</v>
      </c>
      <c r="F16" s="81"/>
      <c r="G16" s="78">
        <v>0</v>
      </c>
      <c r="H16" s="78">
        <f t="shared" si="0"/>
        <v>-1926714.31</v>
      </c>
      <c r="I16" s="76"/>
      <c r="J16" s="76"/>
      <c r="L16" s="79">
        <f>SUM(H16-I16+J16)</f>
        <v>-1926714.31</v>
      </c>
    </row>
    <row r="17" spans="1:12" ht="15">
      <c r="A17" s="14"/>
      <c r="C17" s="76">
        <f>C15+C16</f>
        <v>32327324.649999995</v>
      </c>
      <c r="D17" s="76"/>
      <c r="E17" s="76">
        <f>E15+E16</f>
        <v>3033030.6799999997</v>
      </c>
      <c r="F17" s="81"/>
      <c r="G17" s="76">
        <f>G15+G16</f>
        <v>315604.96</v>
      </c>
      <c r="H17" s="76">
        <f t="shared" si="0"/>
        <v>35675960.29</v>
      </c>
      <c r="I17" s="76"/>
      <c r="J17" s="76"/>
      <c r="L17" s="21">
        <f>SUM(L15:L16)</f>
        <v>31772720.289999995</v>
      </c>
    </row>
    <row r="18" spans="1:12" ht="15">
      <c r="A18" s="14"/>
      <c r="C18" s="76"/>
      <c r="D18" s="76"/>
      <c r="E18" s="76"/>
      <c r="F18" s="81"/>
      <c r="G18" s="76"/>
      <c r="H18" s="76">
        <f t="shared" si="0"/>
        <v>0</v>
      </c>
      <c r="I18" s="76"/>
      <c r="J18" s="76"/>
      <c r="L18" s="21"/>
    </row>
    <row r="19" spans="1:12" ht="15">
      <c r="A19" s="14" t="s">
        <v>230</v>
      </c>
      <c r="C19" s="76">
        <f>SUM(C10-C17)</f>
        <v>13571226.310000006</v>
      </c>
      <c r="D19" s="76"/>
      <c r="E19" s="76">
        <f>SUM(E10-E17)</f>
        <v>403209.3200000003</v>
      </c>
      <c r="F19" s="76"/>
      <c r="G19" s="76">
        <f>SUM(G10-G17)</f>
        <v>28395.03999999998</v>
      </c>
      <c r="H19" s="76">
        <f t="shared" si="0"/>
        <v>14002830.670000006</v>
      </c>
      <c r="I19" s="76"/>
      <c r="J19" s="76"/>
      <c r="L19" s="21">
        <f>L10-L17</f>
        <v>14125830.670000006</v>
      </c>
    </row>
    <row r="20" spans="1:12" ht="15">
      <c r="A20" s="14" t="s">
        <v>231</v>
      </c>
      <c r="C20" s="76">
        <v>-26244.11</v>
      </c>
      <c r="D20" s="76"/>
      <c r="E20" s="76">
        <f>-4488.2</f>
        <v>-4488.2</v>
      </c>
      <c r="F20" s="76"/>
      <c r="G20" s="76">
        <v>-25</v>
      </c>
      <c r="H20" s="76">
        <f t="shared" si="0"/>
        <v>-30757.31</v>
      </c>
      <c r="I20" s="76"/>
      <c r="J20" s="76"/>
      <c r="L20" s="21">
        <f>SUM(H20+I20-J20)</f>
        <v>-30757.31</v>
      </c>
    </row>
    <row r="21" spans="1:12" ht="15">
      <c r="A21" s="14" t="s">
        <v>232</v>
      </c>
      <c r="C21" s="76">
        <f>-792615.68+59584.87</f>
        <v>-733030.81</v>
      </c>
      <c r="D21" s="76"/>
      <c r="E21" s="76">
        <f>-202491.09+198959.09</f>
        <v>-3532</v>
      </c>
      <c r="F21" s="76"/>
      <c r="G21" s="76">
        <f>-18222.29+270.51</f>
        <v>-17951.780000000002</v>
      </c>
      <c r="H21" s="76">
        <f t="shared" si="0"/>
        <v>-754514.5900000001</v>
      </c>
      <c r="I21" s="76"/>
      <c r="J21" s="76"/>
      <c r="L21" s="21">
        <f>SUM(H21+I21-J21)</f>
        <v>-754514.5900000001</v>
      </c>
    </row>
    <row r="22" spans="1:12" ht="15">
      <c r="A22" s="14" t="s">
        <v>233</v>
      </c>
      <c r="C22" s="78">
        <f>-319130.15</f>
        <v>-319130.15</v>
      </c>
      <c r="D22" s="76"/>
      <c r="E22" s="78">
        <f>-1250</f>
        <v>-1250</v>
      </c>
      <c r="F22" s="76"/>
      <c r="G22" s="78">
        <f>-2439</f>
        <v>-2439</v>
      </c>
      <c r="H22" s="78">
        <f t="shared" si="0"/>
        <v>-322819.15</v>
      </c>
      <c r="I22" s="76"/>
      <c r="J22" s="76"/>
      <c r="L22" s="79">
        <f>SUM(H22+I22-J22)</f>
        <v>-322819.15</v>
      </c>
    </row>
    <row r="23" spans="1:12" ht="15">
      <c r="A23" s="14"/>
      <c r="C23" s="82">
        <f>SUM(C19:C22)</f>
        <v>12492821.240000006</v>
      </c>
      <c r="E23" s="82">
        <f>SUM(E19:E22)</f>
        <v>393939.1200000003</v>
      </c>
      <c r="G23" s="82">
        <f>SUM(G19:G22)</f>
        <v>7979.259999999977</v>
      </c>
      <c r="H23" s="76">
        <f t="shared" si="0"/>
        <v>12894739.620000007</v>
      </c>
      <c r="L23" s="21">
        <f>SUM(L19:L22)</f>
        <v>13017739.620000005</v>
      </c>
    </row>
    <row r="24" spans="1:12" ht="15">
      <c r="A24" s="14" t="s">
        <v>234</v>
      </c>
      <c r="C24" s="78">
        <f>19979.7+243369.38+657.79</f>
        <v>264006.87</v>
      </c>
      <c r="D24" s="81"/>
      <c r="E24" s="78">
        <v>123000</v>
      </c>
      <c r="F24" s="76"/>
      <c r="G24" s="78">
        <v>0</v>
      </c>
      <c r="H24" s="78">
        <f t="shared" si="0"/>
        <v>387006.87</v>
      </c>
      <c r="I24" s="76">
        <v>123000</v>
      </c>
      <c r="J24" s="76"/>
      <c r="L24" s="79">
        <f>SUM(H24-I24+J24)</f>
        <v>264006.87</v>
      </c>
    </row>
    <row r="25" spans="1:12" ht="15">
      <c r="A25" s="14"/>
      <c r="C25" s="76">
        <f>SUM(C23:C24)</f>
        <v>12756828.110000005</v>
      </c>
      <c r="D25" s="76"/>
      <c r="E25" s="76">
        <f>SUM(E23:E24)</f>
        <v>516939.1200000003</v>
      </c>
      <c r="F25" s="76"/>
      <c r="G25" s="76">
        <f>SUM(G23:G24)</f>
        <v>7979.259999999977</v>
      </c>
      <c r="H25" s="76">
        <f t="shared" si="0"/>
        <v>13281746.490000006</v>
      </c>
      <c r="I25" s="76"/>
      <c r="J25" s="76"/>
      <c r="L25" s="83">
        <f>SUM(L23:L24)</f>
        <v>13281746.490000004</v>
      </c>
    </row>
    <row r="26" spans="1:12" ht="15">
      <c r="A26" s="84" t="s">
        <v>235</v>
      </c>
      <c r="C26" s="76">
        <f>-6246714.41-59584.87</f>
        <v>-6306299.28</v>
      </c>
      <c r="D26" s="76"/>
      <c r="E26" s="76">
        <f>-188360.35-198959.09</f>
        <v>-387319.44</v>
      </c>
      <c r="F26" s="81"/>
      <c r="G26" s="76">
        <f>-270.51</f>
        <v>-270.51</v>
      </c>
      <c r="H26" s="78">
        <f t="shared" si="0"/>
        <v>-6693889.23</v>
      </c>
      <c r="I26" s="76">
        <f>45710.31</f>
        <v>45710.31</v>
      </c>
      <c r="J26" s="76"/>
      <c r="L26" s="79">
        <f>SUM(H26-I26+J26)</f>
        <v>-6739599.54</v>
      </c>
    </row>
    <row r="27" spans="1:12" ht="15">
      <c r="A27" s="85" t="s">
        <v>236</v>
      </c>
      <c r="B27" s="11"/>
      <c r="C27" s="80">
        <f>SUM(C25:C26)</f>
        <v>6450528.830000005</v>
      </c>
      <c r="D27" s="80"/>
      <c r="E27" s="80">
        <f>SUM(E25:E26)</f>
        <v>129619.68000000028</v>
      </c>
      <c r="F27" s="81"/>
      <c r="G27" s="80">
        <f>SUM(G25:G26)</f>
        <v>7708.749999999976</v>
      </c>
      <c r="H27" s="76">
        <f t="shared" si="0"/>
        <v>6587857.260000005</v>
      </c>
      <c r="I27" s="76"/>
      <c r="J27" s="76"/>
      <c r="L27" s="21">
        <f>SUM(L25:L26)</f>
        <v>6542146.950000004</v>
      </c>
    </row>
    <row r="28" spans="1:12" ht="15">
      <c r="A28" s="14" t="s">
        <v>237</v>
      </c>
      <c r="C28" s="78">
        <f>-1261175.24-243369.38-657.79+26234.11</f>
        <v>-1478968.3</v>
      </c>
      <c r="D28" s="76"/>
      <c r="E28" s="78">
        <f>-124305.05+4488.2</f>
        <v>-119816.85</v>
      </c>
      <c r="F28" s="76"/>
      <c r="G28" s="78">
        <v>0</v>
      </c>
      <c r="H28" s="78">
        <f t="shared" si="0"/>
        <v>-1598785.1500000001</v>
      </c>
      <c r="I28" s="76"/>
      <c r="J28" s="76"/>
      <c r="L28" s="79">
        <f>SUM(H28+I28-J28)</f>
        <v>-1598785.1500000001</v>
      </c>
    </row>
    <row r="29" spans="1:12" ht="15">
      <c r="A29" s="85" t="s">
        <v>238</v>
      </c>
      <c r="B29" s="11"/>
      <c r="C29" s="76">
        <f>SUM(C27:C28)</f>
        <v>4971560.530000005</v>
      </c>
      <c r="D29" s="76"/>
      <c r="E29" s="76">
        <f>SUM(E27:E28)</f>
        <v>9802.830000000278</v>
      </c>
      <c r="F29" s="76"/>
      <c r="G29" s="76">
        <f>SUM(G27:G28)</f>
        <v>7708.749999999976</v>
      </c>
      <c r="H29" s="76">
        <f t="shared" si="0"/>
        <v>4989072.110000005</v>
      </c>
      <c r="I29" s="76"/>
      <c r="J29" s="76"/>
      <c r="L29" s="21">
        <f>SUM(L27:L28)</f>
        <v>4943361.800000004</v>
      </c>
    </row>
    <row r="30" spans="1:12" ht="15">
      <c r="A30" s="86" t="s">
        <v>239</v>
      </c>
      <c r="B30" s="11"/>
      <c r="C30" s="78">
        <v>-6717.9</v>
      </c>
      <c r="D30" s="81"/>
      <c r="E30" s="78">
        <v>0</v>
      </c>
      <c r="F30" s="76"/>
      <c r="G30" s="78">
        <v>0</v>
      </c>
      <c r="H30" s="78">
        <f t="shared" si="0"/>
        <v>-6717.9</v>
      </c>
      <c r="I30" s="76"/>
      <c r="J30" s="76"/>
      <c r="L30" s="79">
        <f>SUM(H30-I30+J30)</f>
        <v>-6717.9</v>
      </c>
    </row>
    <row r="31" spans="1:12" ht="15">
      <c r="A31" s="85" t="s">
        <v>240</v>
      </c>
      <c r="B31" s="11"/>
      <c r="C31" s="76">
        <f>SUM(C29:C30)</f>
        <v>4964842.630000005</v>
      </c>
      <c r="D31" s="76"/>
      <c r="E31" s="76">
        <f>SUM(E29:E30)</f>
        <v>9802.830000000278</v>
      </c>
      <c r="F31" s="76"/>
      <c r="G31" s="76">
        <f>SUM(G29:G30)</f>
        <v>7708.749999999976</v>
      </c>
      <c r="H31" s="76">
        <f t="shared" si="0"/>
        <v>4982354.210000005</v>
      </c>
      <c r="I31" s="76"/>
      <c r="J31" s="76"/>
      <c r="L31" s="21">
        <f>SUM(L29:L30)</f>
        <v>4936643.900000003</v>
      </c>
    </row>
    <row r="32" spans="1:12" ht="15">
      <c r="A32" s="86" t="s">
        <v>241</v>
      </c>
      <c r="B32" s="11"/>
      <c r="C32" s="78">
        <v>0</v>
      </c>
      <c r="D32" s="76"/>
      <c r="E32" s="78">
        <v>0</v>
      </c>
      <c r="F32" s="76"/>
      <c r="G32" s="78">
        <v>0</v>
      </c>
      <c r="H32" s="78">
        <f t="shared" si="0"/>
        <v>0</v>
      </c>
      <c r="I32" s="76"/>
      <c r="J32" s="76"/>
      <c r="L32" s="79">
        <f>H32-I32+J32</f>
        <v>0</v>
      </c>
    </row>
    <row r="33" spans="1:12" ht="15">
      <c r="A33" s="86"/>
      <c r="B33" s="11"/>
      <c r="C33" s="76">
        <f>SUM(C31:C32)</f>
        <v>4964842.630000005</v>
      </c>
      <c r="D33" s="76"/>
      <c r="E33" s="76">
        <f>SUM(E31:E32)</f>
        <v>9802.830000000278</v>
      </c>
      <c r="F33" s="76"/>
      <c r="G33" s="76">
        <f>SUM(G31:G32)</f>
        <v>7708.749999999976</v>
      </c>
      <c r="H33" s="76">
        <f t="shared" si="0"/>
        <v>4982354.210000005</v>
      </c>
      <c r="I33" s="76"/>
      <c r="J33" s="76"/>
      <c r="L33" s="21">
        <f>SUM(L31:L32)</f>
        <v>4936643.900000003</v>
      </c>
    </row>
    <row r="34" spans="1:12" ht="15">
      <c r="A34" s="87" t="s">
        <v>242</v>
      </c>
      <c r="C34" s="76">
        <f>'[1]PL1-3'!C35</f>
        <v>68019008.42</v>
      </c>
      <c r="D34" s="76"/>
      <c r="E34" s="76">
        <v>67390.02</v>
      </c>
      <c r="F34" s="76"/>
      <c r="G34" s="76">
        <f>'[1]PL1-3'!G35</f>
        <v>33691.76000000001</v>
      </c>
      <c r="H34" s="76">
        <f t="shared" si="0"/>
        <v>68120090.2</v>
      </c>
      <c r="I34" s="76">
        <f>299486+182841.24*4+45710.31</f>
        <v>1076561.27</v>
      </c>
      <c r="J34" s="76"/>
      <c r="L34" s="21">
        <f>H34-I34+J34</f>
        <v>67043528.93</v>
      </c>
    </row>
    <row r="35" spans="1:12" ht="15.75" thickBot="1">
      <c r="A35" s="14" t="s">
        <v>243</v>
      </c>
      <c r="C35" s="88">
        <f>SUM(C33:C34)</f>
        <v>72983851.05000001</v>
      </c>
      <c r="D35" s="81"/>
      <c r="E35" s="88">
        <f>SUM(E33:E34)</f>
        <v>77192.85000000028</v>
      </c>
      <c r="F35" s="76"/>
      <c r="G35" s="88">
        <f>SUM(G33:G34)</f>
        <v>41400.50999999999</v>
      </c>
      <c r="H35" s="88">
        <f t="shared" si="0"/>
        <v>73102444.41000001</v>
      </c>
      <c r="I35" s="76"/>
      <c r="J35" s="76"/>
      <c r="L35" s="40">
        <f>SUM(L33:L34)</f>
        <v>71980172.83</v>
      </c>
    </row>
    <row r="36" spans="1:12" ht="15.75" thickTop="1">
      <c r="A36" s="14"/>
      <c r="C36" s="76"/>
      <c r="D36" s="76"/>
      <c r="E36" s="76"/>
      <c r="F36" s="76"/>
      <c r="G36" s="76"/>
      <c r="H36" s="76"/>
      <c r="I36" s="76"/>
      <c r="J36" s="76"/>
      <c r="L36" s="21"/>
    </row>
    <row r="37" spans="1:12" ht="15">
      <c r="A37" s="14"/>
      <c r="L37" s="21"/>
    </row>
    <row r="38" spans="1:12" ht="15">
      <c r="A38" s="14"/>
      <c r="L38" s="21"/>
    </row>
    <row r="39" spans="1:12" ht="15">
      <c r="A39" s="14"/>
      <c r="L39" s="21"/>
    </row>
    <row r="40" spans="1:12" ht="15">
      <c r="A40" s="14"/>
      <c r="L40" s="21"/>
    </row>
    <row r="41" spans="1:12" ht="15">
      <c r="A41" s="14"/>
      <c r="L41" s="21"/>
    </row>
    <row r="42" spans="1:12" ht="15">
      <c r="A42" s="14"/>
      <c r="L42" s="21"/>
    </row>
    <row r="43" spans="1:12" ht="15">
      <c r="A43" s="14"/>
      <c r="L43" s="21"/>
    </row>
    <row r="44" spans="1:12" ht="15">
      <c r="A44" s="14"/>
      <c r="L44" s="21"/>
    </row>
    <row r="45" spans="1:12" ht="15">
      <c r="A45" s="14"/>
      <c r="L45" s="21"/>
    </row>
    <row r="46" spans="1:12" ht="15">
      <c r="A46" s="14"/>
      <c r="L46" s="21"/>
    </row>
    <row r="47" spans="1:12" ht="15">
      <c r="A47" s="14"/>
      <c r="L47" s="21"/>
    </row>
    <row r="48" spans="1:12" ht="15">
      <c r="A48" s="14"/>
      <c r="L48" s="21"/>
    </row>
    <row r="49" spans="1:12" ht="15">
      <c r="A49" s="14"/>
      <c r="L49" s="21"/>
    </row>
    <row r="50" spans="1:12" ht="15">
      <c r="A50" s="14"/>
      <c r="L50" s="21"/>
    </row>
    <row r="51" spans="1:12" ht="15">
      <c r="A51" s="14"/>
      <c r="L51" s="21"/>
    </row>
    <row r="52" spans="1:12" ht="15">
      <c r="A52" s="14"/>
      <c r="L52" s="21"/>
    </row>
    <row r="53" spans="1:12" ht="15">
      <c r="A53" s="14"/>
      <c r="L53" s="21"/>
    </row>
    <row r="54" spans="1:12" ht="15">
      <c r="A54" s="14"/>
      <c r="L54" s="21"/>
    </row>
    <row r="55" spans="1:12" ht="15">
      <c r="A55" s="14"/>
      <c r="L55" s="21"/>
    </row>
    <row r="56" spans="1:12" ht="15">
      <c r="A56" s="14"/>
      <c r="L56" s="21"/>
    </row>
    <row r="57" spans="1:12" ht="15">
      <c r="A57" s="14"/>
      <c r="L57" s="21"/>
    </row>
    <row r="58" spans="1:12" ht="15">
      <c r="A58" s="14"/>
      <c r="L58" s="21"/>
    </row>
    <row r="59" spans="1:12" ht="15">
      <c r="A59" s="14"/>
      <c r="L59" s="21"/>
    </row>
    <row r="60" spans="1:12" ht="15">
      <c r="A60" s="14"/>
      <c r="L60" s="21"/>
    </row>
    <row r="61" spans="1:12" ht="15">
      <c r="A61" s="14"/>
      <c r="L61" s="21"/>
    </row>
    <row r="62" spans="1:12" ht="15">
      <c r="A62" s="14"/>
      <c r="L62" s="21"/>
    </row>
    <row r="63" spans="1:12" ht="15">
      <c r="A63" s="14"/>
      <c r="L63" s="21"/>
    </row>
    <row r="64" spans="1:12" ht="15">
      <c r="A64" s="14"/>
      <c r="L64" s="21"/>
    </row>
    <row r="65" spans="1:12" ht="15">
      <c r="A65" s="14"/>
      <c r="L65" s="21"/>
    </row>
    <row r="66" spans="1:12" ht="15">
      <c r="A66" s="14"/>
      <c r="L66" s="21"/>
    </row>
    <row r="67" spans="1:12" ht="15">
      <c r="A67" s="14"/>
      <c r="L67" s="21"/>
    </row>
    <row r="68" spans="1:12" ht="15">
      <c r="A68" s="14"/>
      <c r="L68" s="21"/>
    </row>
    <row r="69" spans="1:12" ht="15">
      <c r="A69" s="14"/>
      <c r="L69" s="21"/>
    </row>
    <row r="70" spans="1:12" ht="15">
      <c r="A70" s="14"/>
      <c r="L70" s="21"/>
    </row>
    <row r="71" spans="1:12" ht="15">
      <c r="A71" s="14"/>
      <c r="L71" s="21"/>
    </row>
    <row r="72" spans="1:12" ht="15">
      <c r="A72" s="14"/>
      <c r="L72" s="21"/>
    </row>
    <row r="73" spans="1:12" ht="15">
      <c r="A73" s="14"/>
      <c r="L73" s="21"/>
    </row>
    <row r="74" spans="1:12" ht="15">
      <c r="A74" s="14"/>
      <c r="L74" s="21"/>
    </row>
    <row r="75" spans="1:12" ht="15">
      <c r="A75" s="14"/>
      <c r="L75" s="21"/>
    </row>
    <row r="76" spans="1:12" ht="15">
      <c r="A76" s="14"/>
      <c r="L76" s="21"/>
    </row>
    <row r="77" spans="1:12" ht="15">
      <c r="A77" s="14"/>
      <c r="L77" s="21"/>
    </row>
    <row r="78" spans="1:12" ht="15">
      <c r="A78" s="14"/>
      <c r="L78" s="21"/>
    </row>
    <row r="79" spans="1:12" ht="15">
      <c r="A79" s="14"/>
      <c r="L79" s="21"/>
    </row>
    <row r="80" spans="1:12" ht="15">
      <c r="A80" s="14"/>
      <c r="L80" s="21"/>
    </row>
    <row r="81" spans="1:12" ht="15">
      <c r="A81" s="14"/>
      <c r="L81" s="21"/>
    </row>
    <row r="82" spans="1:12" ht="15">
      <c r="A82" s="14"/>
      <c r="L82" s="21"/>
    </row>
    <row r="83" spans="1:12" ht="15">
      <c r="A83" s="14"/>
      <c r="L83" s="21"/>
    </row>
    <row r="84" spans="1:12" ht="15">
      <c r="A84" s="14"/>
      <c r="L84" s="21"/>
    </row>
    <row r="85" spans="1:12" ht="15">
      <c r="A85" s="14"/>
      <c r="L85" s="21"/>
    </row>
    <row r="86" spans="1:12" ht="15">
      <c r="A86" s="14"/>
      <c r="L86" s="21"/>
    </row>
    <row r="87" spans="1:12" ht="15">
      <c r="A87" s="14"/>
      <c r="L87" s="21"/>
    </row>
    <row r="88" spans="1:12" ht="15">
      <c r="A88" s="14"/>
      <c r="L88" s="21"/>
    </row>
    <row r="89" spans="1:12" ht="15">
      <c r="A89" s="14"/>
      <c r="L89" s="21"/>
    </row>
    <row r="90" spans="1:12" ht="15">
      <c r="A90" s="14"/>
      <c r="L90" s="21"/>
    </row>
    <row r="91" spans="1:12" ht="15">
      <c r="A91" s="14"/>
      <c r="L91" s="21"/>
    </row>
    <row r="92" spans="1:12" ht="15">
      <c r="A92" s="14"/>
      <c r="L92" s="21"/>
    </row>
    <row r="93" spans="1:12" ht="15">
      <c r="A93" s="14"/>
      <c r="L93" s="21"/>
    </row>
    <row r="94" spans="1:12" ht="15">
      <c r="A94" s="14"/>
      <c r="L94" s="21"/>
    </row>
    <row r="95" spans="1:12" ht="15">
      <c r="A95" s="14"/>
      <c r="L95" s="21"/>
    </row>
    <row r="96" spans="1:12" ht="15">
      <c r="A96" s="14"/>
      <c r="L96" s="21"/>
    </row>
    <row r="97" spans="1:12" ht="15">
      <c r="A97" s="14"/>
      <c r="L97" s="21"/>
    </row>
    <row r="98" spans="1:12" ht="15">
      <c r="A98" s="14"/>
      <c r="L98" s="21"/>
    </row>
    <row r="99" spans="1:12" ht="15">
      <c r="A99" s="14"/>
      <c r="L99" s="21"/>
    </row>
    <row r="100" spans="1:12" ht="15">
      <c r="A100" s="14"/>
      <c r="L100" s="21"/>
    </row>
    <row r="101" spans="1:12" ht="15">
      <c r="A101" s="14"/>
      <c r="L101" s="21"/>
    </row>
    <row r="102" spans="1:12" ht="15">
      <c r="A102" s="14"/>
      <c r="L102" s="21"/>
    </row>
    <row r="103" spans="1:12" ht="15">
      <c r="A103" s="14"/>
      <c r="L103" s="21"/>
    </row>
    <row r="104" spans="1:12" ht="15">
      <c r="A104" s="14"/>
      <c r="L104" s="21"/>
    </row>
    <row r="105" spans="1:12" ht="15">
      <c r="A105" s="14"/>
      <c r="L105" s="21"/>
    </row>
    <row r="106" spans="1:12" ht="15">
      <c r="A106" s="14"/>
      <c r="L106" s="21"/>
    </row>
    <row r="107" spans="1:12" ht="15">
      <c r="A107" s="14"/>
      <c r="L107" s="21"/>
    </row>
    <row r="108" spans="1:12" ht="15">
      <c r="A108" s="14"/>
      <c r="L108" s="21"/>
    </row>
    <row r="109" spans="1:12" ht="15">
      <c r="A109" s="14"/>
      <c r="L109" s="21"/>
    </row>
    <row r="110" spans="1:12" ht="15">
      <c r="A110" s="14"/>
      <c r="L110" s="21"/>
    </row>
    <row r="111" spans="1:12" ht="15">
      <c r="A111" s="14"/>
      <c r="L111" s="21"/>
    </row>
    <row r="112" spans="1:12" ht="15">
      <c r="A112" s="14"/>
      <c r="L112" s="21"/>
    </row>
    <row r="113" spans="1:12" ht="15">
      <c r="A113" s="14"/>
      <c r="L113" s="21"/>
    </row>
    <row r="114" spans="1:12" ht="15">
      <c r="A114" s="14"/>
      <c r="L114" s="21"/>
    </row>
    <row r="115" spans="1:12" ht="15">
      <c r="A115" s="14"/>
      <c r="L115" s="21"/>
    </row>
    <row r="116" spans="1:12" ht="15">
      <c r="A116" s="14"/>
      <c r="L116" s="21"/>
    </row>
    <row r="117" spans="1:12" ht="15">
      <c r="A117" s="14"/>
      <c r="L117" s="21"/>
    </row>
    <row r="118" spans="1:12" ht="15">
      <c r="A118" s="14"/>
      <c r="L118" s="21"/>
    </row>
    <row r="119" spans="1:12" ht="15">
      <c r="A119" s="14"/>
      <c r="L119" s="21"/>
    </row>
    <row r="120" spans="1:12" ht="15">
      <c r="A120" s="14"/>
      <c r="L120" s="21"/>
    </row>
    <row r="121" spans="1:12" ht="15">
      <c r="A121" s="14"/>
      <c r="L121" s="21"/>
    </row>
    <row r="122" spans="1:12" ht="15">
      <c r="A122" s="14"/>
      <c r="L122" s="21"/>
    </row>
    <row r="123" spans="1:12" ht="15">
      <c r="A123" s="14"/>
      <c r="L123" s="21"/>
    </row>
    <row r="124" spans="1:12" ht="15">
      <c r="A124" s="14"/>
      <c r="L124" s="21"/>
    </row>
    <row r="125" spans="1:12" ht="15">
      <c r="A125" s="14"/>
      <c r="L125" s="21"/>
    </row>
    <row r="126" spans="1:12" ht="15">
      <c r="A126" s="14"/>
      <c r="L126" s="21"/>
    </row>
    <row r="127" spans="1:12" ht="15">
      <c r="A127" s="14"/>
      <c r="L127" s="21"/>
    </row>
    <row r="128" spans="1:12" ht="15">
      <c r="A128" s="14"/>
      <c r="L128" s="21"/>
    </row>
    <row r="129" spans="1:12" ht="15">
      <c r="A129" s="14"/>
      <c r="L129" s="21"/>
    </row>
    <row r="130" spans="1:12" ht="15">
      <c r="A130" s="14"/>
      <c r="L130" s="21"/>
    </row>
    <row r="131" spans="1:12" ht="15">
      <c r="A131" s="14"/>
      <c r="L131" s="21"/>
    </row>
    <row r="132" spans="1:12" ht="15">
      <c r="A132" s="14"/>
      <c r="L132" s="21"/>
    </row>
    <row r="133" spans="1:12" ht="15">
      <c r="A133" s="14"/>
      <c r="L133" s="21"/>
    </row>
    <row r="134" spans="1:12" ht="15">
      <c r="A134" s="14"/>
      <c r="L134" s="21"/>
    </row>
    <row r="135" spans="1:12" ht="15">
      <c r="A135" s="14"/>
      <c r="L135" s="21"/>
    </row>
    <row r="136" spans="1:12" ht="15">
      <c r="A136" s="14"/>
      <c r="L136" s="21"/>
    </row>
    <row r="137" spans="1:12" ht="15">
      <c r="A137" s="14"/>
      <c r="L137" s="21"/>
    </row>
    <row r="138" spans="1:12" ht="15">
      <c r="A138" s="14"/>
      <c r="L138" s="21"/>
    </row>
    <row r="139" spans="1:12" ht="15">
      <c r="A139" s="14"/>
      <c r="L139" s="21"/>
    </row>
    <row r="140" spans="1:12" ht="15">
      <c r="A140" s="14"/>
      <c r="L140" s="21"/>
    </row>
    <row r="141" spans="1:12" ht="15">
      <c r="A141" s="14"/>
      <c r="L141" s="21"/>
    </row>
    <row r="142" spans="1:12" ht="15">
      <c r="A142" s="14"/>
      <c r="L142" s="21"/>
    </row>
    <row r="143" spans="1:12" ht="15">
      <c r="A143" s="14"/>
      <c r="L143" s="21"/>
    </row>
    <row r="144" spans="1:12" ht="15">
      <c r="A144" s="14"/>
      <c r="L144" s="21"/>
    </row>
    <row r="145" spans="1:12" ht="15">
      <c r="A145" s="14"/>
      <c r="L145" s="21"/>
    </row>
    <row r="146" spans="1:12" ht="15">
      <c r="A146" s="14"/>
      <c r="L146" s="21"/>
    </row>
    <row r="147" spans="1:12" ht="15">
      <c r="A147" s="14"/>
      <c r="L147" s="21"/>
    </row>
    <row r="148" spans="1:12" ht="15">
      <c r="A148" s="14"/>
      <c r="L148" s="21"/>
    </row>
    <row r="149" spans="1:12" ht="15">
      <c r="A149" s="14"/>
      <c r="L149" s="21"/>
    </row>
    <row r="150" spans="1:12" ht="15">
      <c r="A150" s="14"/>
      <c r="L150" s="21"/>
    </row>
    <row r="151" spans="1:12" ht="15">
      <c r="A151" s="14"/>
      <c r="L151" s="21"/>
    </row>
    <row r="152" spans="1:12" ht="15">
      <c r="A152" s="14"/>
      <c r="L152" s="21"/>
    </row>
    <row r="153" spans="1:12" ht="15">
      <c r="A153" s="14"/>
      <c r="L153" s="21"/>
    </row>
    <row r="154" spans="1:12" ht="15">
      <c r="A154" s="14"/>
      <c r="L154" s="21"/>
    </row>
    <row r="155" spans="1:12" ht="15">
      <c r="A155" s="14"/>
      <c r="L155" s="21"/>
    </row>
    <row r="156" spans="1:12" ht="15">
      <c r="A156" s="14"/>
      <c r="L156" s="21"/>
    </row>
    <row r="157" spans="1:12" ht="15">
      <c r="A157" s="14"/>
      <c r="L157" s="21"/>
    </row>
    <row r="158" spans="1:12" ht="15">
      <c r="A158" s="14"/>
      <c r="L158" s="21"/>
    </row>
    <row r="159" spans="1:12" ht="15">
      <c r="A159" s="14"/>
      <c r="L159" s="21"/>
    </row>
    <row r="160" spans="1:12" ht="15">
      <c r="A160" s="14"/>
      <c r="L160" s="21"/>
    </row>
    <row r="161" spans="1:12" ht="15">
      <c r="A161" s="14"/>
      <c r="L161" s="21"/>
    </row>
    <row r="162" spans="1:12" ht="15">
      <c r="A162" s="14"/>
      <c r="L162" s="21"/>
    </row>
    <row r="163" spans="1:12" ht="15">
      <c r="A163" s="14"/>
      <c r="L163" s="21"/>
    </row>
    <row r="164" spans="1:12" ht="15">
      <c r="A164" s="14"/>
      <c r="L164" s="21"/>
    </row>
    <row r="165" spans="1:12" ht="15">
      <c r="A165" s="14"/>
      <c r="L165" s="21"/>
    </row>
    <row r="166" spans="1:12" ht="15">
      <c r="A166" s="14"/>
      <c r="L166" s="21"/>
    </row>
    <row r="167" spans="1:12" ht="15">
      <c r="A167" s="14"/>
      <c r="L167" s="21"/>
    </row>
    <row r="168" spans="1:12" ht="15">
      <c r="A168" s="14"/>
      <c r="L168" s="21"/>
    </row>
    <row r="169" spans="1:12" ht="15">
      <c r="A169" s="14"/>
      <c r="L169" s="21"/>
    </row>
    <row r="170" spans="1:12" ht="15">
      <c r="A170" s="14"/>
      <c r="L170" s="21"/>
    </row>
    <row r="171" spans="1:12" ht="15">
      <c r="A171" s="14"/>
      <c r="L171" s="21"/>
    </row>
    <row r="172" spans="1:12" ht="15">
      <c r="A172" s="14"/>
      <c r="L172" s="21"/>
    </row>
    <row r="173" spans="1:12" ht="15">
      <c r="A173" s="14"/>
      <c r="L173" s="21"/>
    </row>
    <row r="174" spans="1:12" ht="15">
      <c r="A174" s="14"/>
      <c r="L174" s="21"/>
    </row>
    <row r="175" spans="1:12" ht="15">
      <c r="A175" s="14"/>
      <c r="L175" s="21"/>
    </row>
    <row r="176" spans="1:12" ht="15">
      <c r="A176" s="14"/>
      <c r="L176" s="21"/>
    </row>
    <row r="177" spans="1:12" ht="15">
      <c r="A177" s="14"/>
      <c r="L177" s="21"/>
    </row>
    <row r="178" spans="1:12" ht="15">
      <c r="A178" s="14"/>
      <c r="L178" s="21"/>
    </row>
    <row r="179" spans="1:12" ht="15">
      <c r="A179" s="14"/>
      <c r="L179" s="21"/>
    </row>
    <row r="180" spans="1:12" ht="15">
      <c r="A180" s="14"/>
      <c r="L180" s="21"/>
    </row>
    <row r="181" spans="1:12" ht="15">
      <c r="A181" s="14"/>
      <c r="L181" s="21"/>
    </row>
    <row r="182" spans="1:12" ht="15">
      <c r="A182" s="14"/>
      <c r="L182" s="21"/>
    </row>
    <row r="183" spans="1:12" ht="15">
      <c r="A183" s="14"/>
      <c r="L183" s="21"/>
    </row>
    <row r="184" spans="1:12" ht="15">
      <c r="A184" s="14"/>
      <c r="L184" s="21"/>
    </row>
    <row r="185" spans="1:12" ht="15">
      <c r="A185" s="14"/>
      <c r="L185" s="21"/>
    </row>
    <row r="186" spans="1:12" ht="15">
      <c r="A186" s="14"/>
      <c r="L186" s="21"/>
    </row>
    <row r="187" spans="1:12" ht="15">
      <c r="A187" s="14"/>
      <c r="L187" s="21"/>
    </row>
    <row r="188" spans="1:12" ht="15">
      <c r="A188" s="14"/>
      <c r="L188" s="21"/>
    </row>
    <row r="189" spans="1:12" ht="15">
      <c r="A189" s="14"/>
      <c r="L189" s="21"/>
    </row>
    <row r="190" spans="1:12" ht="15">
      <c r="A190" s="14"/>
      <c r="L190" s="21"/>
    </row>
    <row r="191" spans="1:12" ht="15">
      <c r="A191" s="14"/>
      <c r="L191" s="21"/>
    </row>
    <row r="192" spans="1:12" ht="15">
      <c r="A192" s="14"/>
      <c r="L192" s="21"/>
    </row>
    <row r="193" spans="1:12" ht="15">
      <c r="A193" s="14"/>
      <c r="L193" s="21"/>
    </row>
    <row r="194" spans="1:12" ht="15">
      <c r="A194" s="14"/>
      <c r="L194" s="21"/>
    </row>
    <row r="195" spans="1:12" ht="15">
      <c r="A195" s="14"/>
      <c r="L195" s="21"/>
    </row>
    <row r="196" spans="1:12" ht="15">
      <c r="A196" s="14"/>
      <c r="L196" s="21"/>
    </row>
    <row r="197" spans="1:12" ht="15">
      <c r="A197" s="14"/>
      <c r="L197" s="21"/>
    </row>
    <row r="198" spans="1:12" ht="15">
      <c r="A198" s="14"/>
      <c r="L198" s="21"/>
    </row>
    <row r="199" spans="1:12" ht="15">
      <c r="A199" s="14"/>
      <c r="L199" s="21"/>
    </row>
    <row r="200" spans="1:12" ht="15">
      <c r="A200" s="14"/>
      <c r="L200" s="21"/>
    </row>
    <row r="201" ht="15">
      <c r="L201" s="21"/>
    </row>
    <row r="202" ht="15">
      <c r="L202" s="21"/>
    </row>
    <row r="203" ht="15">
      <c r="L203" s="21"/>
    </row>
    <row r="204" ht="15">
      <c r="L204" s="21"/>
    </row>
    <row r="205" ht="15">
      <c r="L205" s="21"/>
    </row>
    <row r="206" ht="15">
      <c r="L206" s="21"/>
    </row>
    <row r="207" ht="15">
      <c r="L207" s="21"/>
    </row>
    <row r="208" ht="15">
      <c r="L208" s="21"/>
    </row>
    <row r="209" ht="15">
      <c r="L209" s="21"/>
    </row>
    <row r="210" ht="15">
      <c r="L210" s="21"/>
    </row>
    <row r="211" ht="15">
      <c r="L211" s="21"/>
    </row>
    <row r="212" ht="15">
      <c r="L212" s="21"/>
    </row>
    <row r="213" ht="15">
      <c r="L213" s="21"/>
    </row>
    <row r="214" ht="15">
      <c r="L214" s="21"/>
    </row>
    <row r="215" ht="15">
      <c r="L215" s="21"/>
    </row>
    <row r="216" ht="15">
      <c r="L216" s="21"/>
    </row>
    <row r="217" ht="15">
      <c r="L217" s="21"/>
    </row>
    <row r="218" ht="15">
      <c r="L218" s="21"/>
    </row>
    <row r="219" ht="15">
      <c r="L219" s="21"/>
    </row>
    <row r="220" ht="15">
      <c r="L220" s="21"/>
    </row>
    <row r="221" ht="15">
      <c r="L221" s="21"/>
    </row>
    <row r="222" ht="15">
      <c r="L222" s="21"/>
    </row>
    <row r="223" ht="15">
      <c r="L223" s="21"/>
    </row>
    <row r="224" ht="15">
      <c r="L224" s="21"/>
    </row>
    <row r="225" ht="15">
      <c r="L225" s="21"/>
    </row>
    <row r="226" ht="15">
      <c r="L226" s="21"/>
    </row>
    <row r="227" ht="15">
      <c r="L227" s="21"/>
    </row>
    <row r="228" ht="15">
      <c r="L228" s="21"/>
    </row>
    <row r="229" ht="15">
      <c r="L229" s="21"/>
    </row>
    <row r="230" ht="15">
      <c r="L230" s="21"/>
    </row>
    <row r="231" ht="15">
      <c r="L231" s="21"/>
    </row>
    <row r="232" ht="15">
      <c r="L232" s="21"/>
    </row>
    <row r="233" ht="15">
      <c r="L233" s="21"/>
    </row>
    <row r="234" ht="15">
      <c r="L234" s="21"/>
    </row>
    <row r="235" ht="15">
      <c r="L235" s="21"/>
    </row>
    <row r="236" ht="15">
      <c r="L236" s="21"/>
    </row>
    <row r="237" ht="15">
      <c r="L237" s="21"/>
    </row>
    <row r="238" ht="15">
      <c r="L238" s="21"/>
    </row>
    <row r="239" ht="15">
      <c r="L239" s="21"/>
    </row>
    <row r="240" ht="15">
      <c r="L240" s="21"/>
    </row>
    <row r="241" ht="15">
      <c r="L241" s="21"/>
    </row>
    <row r="242" ht="15">
      <c r="L242" s="21"/>
    </row>
    <row r="243" ht="15">
      <c r="L243" s="21"/>
    </row>
    <row r="244" ht="15">
      <c r="L244" s="21"/>
    </row>
    <row r="245" ht="15">
      <c r="L245" s="21"/>
    </row>
    <row r="246" ht="15">
      <c r="L246" s="21"/>
    </row>
    <row r="247" ht="15">
      <c r="L247" s="21"/>
    </row>
    <row r="248" ht="15">
      <c r="L248" s="21"/>
    </row>
    <row r="249" ht="15">
      <c r="L249" s="21"/>
    </row>
    <row r="250" ht="15">
      <c r="L250" s="21"/>
    </row>
    <row r="251" ht="15">
      <c r="L251" s="21"/>
    </row>
    <row r="252" ht="15">
      <c r="L252" s="21"/>
    </row>
    <row r="253" ht="15">
      <c r="L253" s="21"/>
    </row>
    <row r="254" ht="15">
      <c r="L254" s="21"/>
    </row>
    <row r="255" ht="15">
      <c r="L255" s="21"/>
    </row>
    <row r="256" ht="15">
      <c r="L256" s="21"/>
    </row>
    <row r="257" ht="15">
      <c r="L257" s="21"/>
    </row>
    <row r="258" ht="15">
      <c r="L258" s="21"/>
    </row>
    <row r="259" ht="15">
      <c r="L259" s="21"/>
    </row>
    <row r="260" ht="15">
      <c r="L260" s="21"/>
    </row>
    <row r="261" ht="15">
      <c r="L261" s="21"/>
    </row>
    <row r="262" ht="15">
      <c r="L262" s="21"/>
    </row>
    <row r="263" ht="15">
      <c r="L263" s="21"/>
    </row>
    <row r="264" ht="15">
      <c r="L264" s="21"/>
    </row>
    <row r="265" ht="15">
      <c r="L265" s="21"/>
    </row>
    <row r="266" ht="15">
      <c r="L266" s="21"/>
    </row>
    <row r="267" ht="15">
      <c r="L267" s="21"/>
    </row>
    <row r="268" ht="15">
      <c r="L268" s="21"/>
    </row>
    <row r="269" ht="15">
      <c r="L269" s="21"/>
    </row>
    <row r="270" ht="15">
      <c r="L270" s="21"/>
    </row>
    <row r="271" ht="15">
      <c r="L271" s="21"/>
    </row>
    <row r="272" ht="15">
      <c r="L272" s="21"/>
    </row>
    <row r="273" ht="15">
      <c r="L273" s="21"/>
    </row>
    <row r="274" ht="15">
      <c r="L274" s="21"/>
    </row>
    <row r="275" ht="15">
      <c r="L275" s="21"/>
    </row>
    <row r="276" ht="15">
      <c r="L276" s="21"/>
    </row>
    <row r="277" ht="15">
      <c r="L277" s="21"/>
    </row>
    <row r="278" ht="15">
      <c r="L278" s="21"/>
    </row>
    <row r="279" ht="15">
      <c r="L279" s="21"/>
    </row>
    <row r="280" ht="15">
      <c r="L280" s="21"/>
    </row>
    <row r="281" ht="15">
      <c r="L281" s="21"/>
    </row>
    <row r="282" ht="15">
      <c r="L282" s="21"/>
    </row>
    <row r="283" ht="15">
      <c r="L283" s="21"/>
    </row>
    <row r="284" ht="15">
      <c r="L284" s="21"/>
    </row>
    <row r="285" ht="15">
      <c r="L285" s="21"/>
    </row>
    <row r="286" ht="15">
      <c r="L286" s="21"/>
    </row>
    <row r="287" ht="15">
      <c r="L287" s="21"/>
    </row>
    <row r="288" ht="15">
      <c r="L288" s="21"/>
    </row>
    <row r="289" ht="15">
      <c r="L289" s="21"/>
    </row>
    <row r="290" ht="15">
      <c r="L290" s="21"/>
    </row>
    <row r="291" ht="15">
      <c r="L291" s="21"/>
    </row>
    <row r="292" ht="15">
      <c r="L292" s="21"/>
    </row>
    <row r="293" ht="15">
      <c r="L293" s="21"/>
    </row>
    <row r="294" ht="15">
      <c r="L294" s="21"/>
    </row>
    <row r="295" ht="15">
      <c r="L295" s="21"/>
    </row>
    <row r="296" ht="15">
      <c r="L296" s="21"/>
    </row>
    <row r="297" ht="15">
      <c r="L297" s="21"/>
    </row>
    <row r="298" ht="15">
      <c r="L298" s="21"/>
    </row>
    <row r="299" ht="15">
      <c r="L299" s="21"/>
    </row>
    <row r="300" ht="15">
      <c r="L300" s="21"/>
    </row>
    <row r="301" ht="15">
      <c r="L301" s="21"/>
    </row>
    <row r="302" ht="15">
      <c r="L302" s="21"/>
    </row>
    <row r="303" ht="15">
      <c r="L303" s="21"/>
    </row>
    <row r="304" ht="15">
      <c r="L304" s="21"/>
    </row>
    <row r="305" ht="15">
      <c r="L305" s="21"/>
    </row>
    <row r="306" ht="15">
      <c r="L306" s="21"/>
    </row>
    <row r="307" ht="15">
      <c r="L307" s="21"/>
    </row>
    <row r="308" ht="15">
      <c r="L308" s="21"/>
    </row>
    <row r="309" ht="15">
      <c r="L309" s="21"/>
    </row>
    <row r="310" ht="15">
      <c r="L310" s="21"/>
    </row>
    <row r="311" ht="15">
      <c r="L311" s="21"/>
    </row>
  </sheetData>
  <printOptions/>
  <pageMargins left="0.35433070866141736" right="0.15748031496062992" top="1.3779527559055118" bottom="0.7874015748031497" header="0.5118110236220472" footer="0.5118110236220472"/>
  <pageSetup horizontalDpi="180" verticalDpi="18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xSplit="1" ySplit="3" topLeftCell="B4" activePane="bottomRight" state="frozen"/>
      <selection pane="topLeft" activeCell="A13" activeCellId="1" sqref="A10 A13"/>
      <selection pane="topRight" activeCell="A13" activeCellId="1" sqref="A10 A13"/>
      <selection pane="bottomLeft" activeCell="A13" activeCellId="1" sqref="A10 A13"/>
      <selection pane="bottomRight" activeCell="A5" sqref="A5"/>
    </sheetView>
  </sheetViews>
  <sheetFormatPr defaultColWidth="9.00390625" defaultRowHeight="15.75"/>
  <cols>
    <col min="1" max="1" width="45.125" style="5" customWidth="1"/>
    <col min="2" max="2" width="2.625" style="5" customWidth="1"/>
    <col min="3" max="3" width="15.875" style="5" customWidth="1"/>
    <col min="4" max="4" width="1.875" style="5" customWidth="1"/>
    <col min="5" max="5" width="16.125" style="5" customWidth="1"/>
    <col min="6" max="6" width="1.625" style="5" customWidth="1"/>
    <col min="7" max="7" width="14.375" style="5" customWidth="1"/>
    <col min="8" max="8" width="14.875" style="5" customWidth="1"/>
    <col min="9" max="9" width="14.375" style="5" customWidth="1"/>
    <col min="10" max="10" width="13.50390625" style="5" customWidth="1"/>
    <col min="11" max="11" width="1.12109375" style="5" customWidth="1"/>
    <col min="12" max="12" width="18.125" style="5" customWidth="1"/>
    <col min="13" max="16384" width="9.00390625" style="5" customWidth="1"/>
  </cols>
  <sheetData>
    <row r="1" ht="15">
      <c r="A1" s="64" t="s">
        <v>212</v>
      </c>
    </row>
    <row r="2" ht="15">
      <c r="A2" s="65" t="s">
        <v>244</v>
      </c>
    </row>
    <row r="4" ht="15">
      <c r="G4" s="66" t="s">
        <v>214</v>
      </c>
    </row>
    <row r="5" spans="3:12" s="14" customFormat="1" ht="12.75">
      <c r="C5" s="66" t="s">
        <v>215</v>
      </c>
      <c r="D5" s="19"/>
      <c r="E5" s="66" t="s">
        <v>216</v>
      </c>
      <c r="G5" s="66" t="s">
        <v>217</v>
      </c>
      <c r="H5" s="66" t="s">
        <v>218</v>
      </c>
      <c r="I5" s="66" t="s">
        <v>219</v>
      </c>
      <c r="J5" s="66" t="s">
        <v>220</v>
      </c>
      <c r="L5" s="67" t="s">
        <v>221</v>
      </c>
    </row>
    <row r="6" spans="1:12" ht="15">
      <c r="A6" s="14"/>
      <c r="C6" s="68"/>
      <c r="D6" s="10"/>
      <c r="I6" s="69" t="s">
        <v>222</v>
      </c>
      <c r="J6" s="69" t="s">
        <v>223</v>
      </c>
      <c r="L6" s="21"/>
    </row>
    <row r="7" spans="1:12" s="38" customFormat="1" ht="15">
      <c r="A7" s="70"/>
      <c r="C7" s="71" t="s">
        <v>224</v>
      </c>
      <c r="D7" s="72"/>
      <c r="E7" s="73" t="s">
        <v>224</v>
      </c>
      <c r="G7" s="73" t="s">
        <v>224</v>
      </c>
      <c r="H7" s="73" t="s">
        <v>224</v>
      </c>
      <c r="I7" s="73" t="s">
        <v>224</v>
      </c>
      <c r="J7" s="73" t="s">
        <v>224</v>
      </c>
      <c r="L7" s="74" t="s">
        <v>224</v>
      </c>
    </row>
    <row r="8" spans="1:12" ht="15">
      <c r="A8" s="14"/>
      <c r="C8" s="68"/>
      <c r="D8" s="10"/>
      <c r="L8" s="21"/>
    </row>
    <row r="9" spans="1:12" ht="15">
      <c r="A9" s="14"/>
      <c r="C9" s="75"/>
      <c r="D9" s="75"/>
      <c r="E9" s="75"/>
      <c r="F9" s="75"/>
      <c r="G9" s="75"/>
      <c r="H9" s="75"/>
      <c r="I9" s="75"/>
      <c r="J9" s="75"/>
      <c r="L9" s="21"/>
    </row>
    <row r="10" spans="1:12" ht="15">
      <c r="A10" s="64" t="s">
        <v>225</v>
      </c>
      <c r="C10" s="76">
        <v>81141769.27</v>
      </c>
      <c r="D10" s="76"/>
      <c r="E10" s="76">
        <v>5364634.3</v>
      </c>
      <c r="F10" s="76"/>
      <c r="G10" s="76">
        <v>598000</v>
      </c>
      <c r="H10" s="76">
        <f aca="true" t="shared" si="0" ref="H10:H35">SUM(C10:G10)</f>
        <v>87104403.57</v>
      </c>
      <c r="I10" s="76">
        <f>E10+G10</f>
        <v>5962634.3</v>
      </c>
      <c r="J10" s="76"/>
      <c r="L10" s="21">
        <f>SUM(H10-I10+J10)</f>
        <v>81141769.27</v>
      </c>
    </row>
    <row r="11" spans="1:12" ht="15">
      <c r="A11" s="14"/>
      <c r="C11" s="76"/>
      <c r="D11" s="76"/>
      <c r="E11" s="76"/>
      <c r="F11" s="76"/>
      <c r="G11" s="76"/>
      <c r="H11" s="76">
        <f t="shared" si="0"/>
        <v>0</v>
      </c>
      <c r="I11" s="76"/>
      <c r="J11" s="76"/>
      <c r="L11" s="21"/>
    </row>
    <row r="12" spans="1:12" ht="15">
      <c r="A12" s="77" t="s">
        <v>226</v>
      </c>
      <c r="C12" s="76"/>
      <c r="D12" s="76"/>
      <c r="E12" s="76"/>
      <c r="F12" s="76"/>
      <c r="G12" s="76"/>
      <c r="H12" s="76">
        <f t="shared" si="0"/>
        <v>0</v>
      </c>
      <c r="I12" s="76"/>
      <c r="J12" s="76"/>
      <c r="L12" s="21"/>
    </row>
    <row r="13" spans="1:12" ht="15">
      <c r="A13" s="14" t="s">
        <v>227</v>
      </c>
      <c r="C13" s="76">
        <v>2063058.53</v>
      </c>
      <c r="D13" s="76"/>
      <c r="E13" s="76">
        <v>0</v>
      </c>
      <c r="F13" s="76"/>
      <c r="G13" s="76">
        <v>0</v>
      </c>
      <c r="H13" s="76">
        <f t="shared" si="0"/>
        <v>2063058.53</v>
      </c>
      <c r="I13" s="76"/>
      <c r="J13" s="76"/>
      <c r="L13" s="21">
        <f>SUM(H13-I13+J13)</f>
        <v>2063058.53</v>
      </c>
    </row>
    <row r="14" spans="1:12" ht="15">
      <c r="A14" s="14" t="s">
        <v>228</v>
      </c>
      <c r="C14" s="76">
        <f>66294089.29-12461190.96</f>
        <v>53832898.33</v>
      </c>
      <c r="D14" s="76"/>
      <c r="E14" s="78">
        <f>4941959.98-376212.88</f>
        <v>4565747.100000001</v>
      </c>
      <c r="F14" s="76"/>
      <c r="G14" s="78">
        <f>526598.48</f>
        <v>526598.48</v>
      </c>
      <c r="H14" s="78">
        <f t="shared" si="0"/>
        <v>58925243.91</v>
      </c>
      <c r="I14" s="76"/>
      <c r="J14" s="76">
        <f>I10+I24</f>
        <v>6085634.3</v>
      </c>
      <c r="L14" s="79">
        <f>H14+I14-J14</f>
        <v>52839609.61</v>
      </c>
    </row>
    <row r="15" spans="1:12" ht="15">
      <c r="A15" s="14"/>
      <c r="C15" s="80">
        <f>C13+C14</f>
        <v>55895956.86</v>
      </c>
      <c r="D15" s="80"/>
      <c r="E15" s="80">
        <f>E13+E14</f>
        <v>4565747.100000001</v>
      </c>
      <c r="F15" s="81"/>
      <c r="G15" s="80">
        <f>G13+G14</f>
        <v>526598.48</v>
      </c>
      <c r="H15" s="76">
        <f t="shared" si="0"/>
        <v>60988302.44</v>
      </c>
      <c r="I15" s="76"/>
      <c r="J15" s="76"/>
      <c r="L15" s="21">
        <f>SUM(L13:L14)</f>
        <v>54902668.14</v>
      </c>
    </row>
    <row r="16" spans="1:12" ht="15">
      <c r="A16" s="14" t="s">
        <v>229</v>
      </c>
      <c r="C16" s="78">
        <v>-688463.27</v>
      </c>
      <c r="D16" s="81"/>
      <c r="E16" s="78">
        <v>0</v>
      </c>
      <c r="F16" s="81"/>
      <c r="G16" s="78">
        <v>0</v>
      </c>
      <c r="H16" s="78">
        <f t="shared" si="0"/>
        <v>-688463.27</v>
      </c>
      <c r="I16" s="76"/>
      <c r="J16" s="76"/>
      <c r="L16" s="79">
        <f>SUM(H16-I16+J16)</f>
        <v>-688463.27</v>
      </c>
    </row>
    <row r="17" spans="1:12" ht="15">
      <c r="A17" s="14"/>
      <c r="C17" s="76">
        <f>C15+C16</f>
        <v>55207493.589999996</v>
      </c>
      <c r="D17" s="76"/>
      <c r="E17" s="76">
        <f>E15+E16</f>
        <v>4565747.100000001</v>
      </c>
      <c r="F17" s="81"/>
      <c r="G17" s="76">
        <f>G15+G16</f>
        <v>526598.48</v>
      </c>
      <c r="H17" s="76">
        <f t="shared" si="0"/>
        <v>60299839.169999994</v>
      </c>
      <c r="I17" s="76"/>
      <c r="J17" s="76"/>
      <c r="L17" s="21">
        <f>SUM(L15:L16)</f>
        <v>54214204.87</v>
      </c>
    </row>
    <row r="18" spans="1:12" ht="15">
      <c r="A18" s="14"/>
      <c r="C18" s="76"/>
      <c r="D18" s="76"/>
      <c r="E18" s="76"/>
      <c r="F18" s="81"/>
      <c r="G18" s="76"/>
      <c r="H18" s="76">
        <f t="shared" si="0"/>
        <v>0</v>
      </c>
      <c r="I18" s="76"/>
      <c r="J18" s="76"/>
      <c r="L18" s="21"/>
    </row>
    <row r="19" spans="1:12" ht="15">
      <c r="A19" s="14" t="s">
        <v>230</v>
      </c>
      <c r="C19" s="76">
        <f>SUM(C10-C17)</f>
        <v>25934275.68</v>
      </c>
      <c r="D19" s="76"/>
      <c r="E19" s="76">
        <f>SUM(E10-E17)</f>
        <v>798887.1999999993</v>
      </c>
      <c r="F19" s="76"/>
      <c r="G19" s="76">
        <f>SUM(G10-G17)</f>
        <v>71401.52000000002</v>
      </c>
      <c r="H19" s="76">
        <f t="shared" si="0"/>
        <v>26804564.4</v>
      </c>
      <c r="I19" s="76"/>
      <c r="J19" s="76"/>
      <c r="L19" s="21">
        <f>L10-L17</f>
        <v>26927564.4</v>
      </c>
    </row>
    <row r="20" spans="1:12" ht="15">
      <c r="A20" s="14" t="s">
        <v>231</v>
      </c>
      <c r="C20" s="76">
        <v>-52595.12</v>
      </c>
      <c r="D20" s="76"/>
      <c r="E20" s="76">
        <f>-5915.46</f>
        <v>-5915.46</v>
      </c>
      <c r="F20" s="76"/>
      <c r="G20" s="76">
        <v>-25</v>
      </c>
      <c r="H20" s="76">
        <f t="shared" si="0"/>
        <v>-58535.58</v>
      </c>
      <c r="I20" s="76"/>
      <c r="J20" s="76"/>
      <c r="L20" s="21">
        <f>SUM(H20+I20-J20)</f>
        <v>-58535.58</v>
      </c>
    </row>
    <row r="21" spans="1:12" ht="15">
      <c r="A21" s="14" t="s">
        <v>232</v>
      </c>
      <c r="C21" s="76">
        <f>-1570319.33+121787.36</f>
        <v>-1448531.97</v>
      </c>
      <c r="D21" s="76"/>
      <c r="E21" s="76">
        <f>-404584.18+389143.53</f>
        <v>-15440.649999999965</v>
      </c>
      <c r="F21" s="76"/>
      <c r="G21" s="76">
        <f>-38786.58+541.02</f>
        <v>-38245.560000000005</v>
      </c>
      <c r="H21" s="76">
        <f t="shared" si="0"/>
        <v>-1502218.18</v>
      </c>
      <c r="I21" s="76"/>
      <c r="J21" s="76"/>
      <c r="L21" s="21">
        <f>SUM(H21+I21-J21)</f>
        <v>-1502218.18</v>
      </c>
    </row>
    <row r="22" spans="1:12" ht="15">
      <c r="A22" s="14" t="s">
        <v>233</v>
      </c>
      <c r="C22" s="78">
        <f>-688962.16</f>
        <v>-688962.16</v>
      </c>
      <c r="D22" s="76"/>
      <c r="E22" s="78">
        <f>-5333</f>
        <v>-5333</v>
      </c>
      <c r="F22" s="76"/>
      <c r="G22" s="78">
        <f>-6473</f>
        <v>-6473</v>
      </c>
      <c r="H22" s="78">
        <f t="shared" si="0"/>
        <v>-700768.16</v>
      </c>
      <c r="I22" s="76"/>
      <c r="J22" s="76"/>
      <c r="L22" s="79">
        <f>SUM(H22+I22-J22)</f>
        <v>-700768.16</v>
      </c>
    </row>
    <row r="23" spans="1:12" ht="15">
      <c r="A23" s="14"/>
      <c r="C23" s="82">
        <f>SUM(C19:C22)</f>
        <v>23744186.43</v>
      </c>
      <c r="E23" s="82">
        <f>SUM(E19:E22)</f>
        <v>772198.0899999994</v>
      </c>
      <c r="G23" s="82">
        <f>SUM(G19:G22)</f>
        <v>26657.960000000014</v>
      </c>
      <c r="H23" s="76">
        <f t="shared" si="0"/>
        <v>24543042.48</v>
      </c>
      <c r="L23" s="21">
        <f>SUM(L19:L22)</f>
        <v>24666042.48</v>
      </c>
    </row>
    <row r="24" spans="1:12" ht="15">
      <c r="A24" s="14" t="s">
        <v>234</v>
      </c>
      <c r="C24" s="78">
        <f>30251.52+324418.35+657.79</f>
        <v>355327.66</v>
      </c>
      <c r="D24" s="81"/>
      <c r="E24" s="78">
        <v>246000</v>
      </c>
      <c r="F24" s="76"/>
      <c r="G24" s="78">
        <v>0</v>
      </c>
      <c r="H24" s="78">
        <f t="shared" si="0"/>
        <v>601327.6599999999</v>
      </c>
      <c r="I24" s="76">
        <v>123000</v>
      </c>
      <c r="J24" s="76"/>
      <c r="L24" s="79">
        <f>SUM(H24-I24+J24)</f>
        <v>478327.6599999999</v>
      </c>
    </row>
    <row r="25" spans="1:12" ht="15">
      <c r="A25" s="14"/>
      <c r="C25" s="76">
        <f>SUM(C23:C24)</f>
        <v>24099514.09</v>
      </c>
      <c r="D25" s="76"/>
      <c r="E25" s="76">
        <f>SUM(E23:E24)</f>
        <v>1018198.0899999994</v>
      </c>
      <c r="F25" s="76"/>
      <c r="G25" s="76">
        <f>SUM(G23:G24)</f>
        <v>26657.960000000014</v>
      </c>
      <c r="H25" s="76">
        <f t="shared" si="0"/>
        <v>25144370.14</v>
      </c>
      <c r="I25" s="76"/>
      <c r="J25" s="76"/>
      <c r="L25" s="83">
        <f>SUM(L23:L24)</f>
        <v>25144370.14</v>
      </c>
    </row>
    <row r="26" spans="1:12" ht="15">
      <c r="A26" s="84" t="s">
        <v>235</v>
      </c>
      <c r="C26" s="76">
        <f>-12461190.96-121787.36</f>
        <v>-12582978.32</v>
      </c>
      <c r="D26" s="76"/>
      <c r="E26" s="76">
        <f>-376212.88-389143.53</f>
        <v>-765356.41</v>
      </c>
      <c r="F26" s="81"/>
      <c r="G26" s="76">
        <v>-541.02</v>
      </c>
      <c r="H26" s="78">
        <f t="shared" si="0"/>
        <v>-13348875.75</v>
      </c>
      <c r="I26" s="76">
        <f>45710.31*2</f>
        <v>91420.62</v>
      </c>
      <c r="J26" s="76"/>
      <c r="L26" s="79">
        <f>SUM(H26-I26+J26)</f>
        <v>-13440296.37</v>
      </c>
    </row>
    <row r="27" spans="1:12" ht="15">
      <c r="A27" s="85" t="s">
        <v>236</v>
      </c>
      <c r="B27" s="11"/>
      <c r="C27" s="80">
        <f>SUM(C25:C26)</f>
        <v>11516535.77</v>
      </c>
      <c r="D27" s="80"/>
      <c r="E27" s="80">
        <f>SUM(E25:E26)</f>
        <v>252841.67999999935</v>
      </c>
      <c r="F27" s="81"/>
      <c r="G27" s="80">
        <f>SUM(G25:G26)</f>
        <v>26116.940000000013</v>
      </c>
      <c r="H27" s="76">
        <f t="shared" si="0"/>
        <v>11795494.389999999</v>
      </c>
      <c r="I27" s="76"/>
      <c r="J27" s="76"/>
      <c r="L27" s="21">
        <f>SUM(L25:L26)</f>
        <v>11704073.770000001</v>
      </c>
    </row>
    <row r="28" spans="1:12" ht="15">
      <c r="A28" s="14" t="s">
        <v>237</v>
      </c>
      <c r="C28" s="78">
        <f>-2600587.97-324418.35-657.79+52595.12</f>
        <v>-2873068.99</v>
      </c>
      <c r="D28" s="76"/>
      <c r="E28" s="78">
        <f>-217354.99+5915.46</f>
        <v>-211439.53</v>
      </c>
      <c r="F28" s="76"/>
      <c r="G28" s="78">
        <v>0</v>
      </c>
      <c r="H28" s="78">
        <f t="shared" si="0"/>
        <v>-3084508.52</v>
      </c>
      <c r="I28" s="76"/>
      <c r="J28" s="76"/>
      <c r="L28" s="79">
        <f>SUM(H28+I28-J28)</f>
        <v>-3084508.52</v>
      </c>
    </row>
    <row r="29" spans="1:12" ht="15">
      <c r="A29" s="85" t="s">
        <v>238</v>
      </c>
      <c r="B29" s="11"/>
      <c r="C29" s="76">
        <f>SUM(C27:C28)</f>
        <v>8643466.78</v>
      </c>
      <c r="D29" s="76"/>
      <c r="E29" s="76">
        <f>SUM(E27:E28)</f>
        <v>41402.149999999354</v>
      </c>
      <c r="F29" s="76"/>
      <c r="G29" s="76">
        <f>SUM(G27:G28)</f>
        <v>26116.940000000013</v>
      </c>
      <c r="H29" s="76">
        <f t="shared" si="0"/>
        <v>8710985.869999997</v>
      </c>
      <c r="I29" s="76"/>
      <c r="J29" s="76"/>
      <c r="L29" s="21">
        <f>SUM(L27:L28)</f>
        <v>8619565.250000002</v>
      </c>
    </row>
    <row r="30" spans="1:12" ht="15">
      <c r="A30" s="86" t="s">
        <v>239</v>
      </c>
      <c r="B30" s="11"/>
      <c r="C30" s="78">
        <v>-6717.9</v>
      </c>
      <c r="D30" s="81"/>
      <c r="E30" s="78">
        <v>0</v>
      </c>
      <c r="F30" s="76"/>
      <c r="G30" s="78">
        <v>0</v>
      </c>
      <c r="H30" s="78">
        <f t="shared" si="0"/>
        <v>-6717.9</v>
      </c>
      <c r="I30" s="76"/>
      <c r="J30" s="76"/>
      <c r="L30" s="79">
        <f>SUM(H30-I30+J30)</f>
        <v>-6717.9</v>
      </c>
    </row>
    <row r="31" spans="1:12" ht="15">
      <c r="A31" s="85" t="s">
        <v>240</v>
      </c>
      <c r="B31" s="11"/>
      <c r="C31" s="76">
        <f>SUM(C29:C30)</f>
        <v>8636748.879999999</v>
      </c>
      <c r="D31" s="76"/>
      <c r="E31" s="76">
        <f>SUM(E29:E30)</f>
        <v>41402.149999999354</v>
      </c>
      <c r="F31" s="76"/>
      <c r="G31" s="76">
        <f>SUM(G29:G30)</f>
        <v>26116.940000000013</v>
      </c>
      <c r="H31" s="76">
        <f t="shared" si="0"/>
        <v>8704267.969999997</v>
      </c>
      <c r="I31" s="76"/>
      <c r="J31" s="76"/>
      <c r="L31" s="21">
        <f>SUM(L29:L30)</f>
        <v>8612847.350000001</v>
      </c>
    </row>
    <row r="32" spans="1:12" ht="15">
      <c r="A32" s="86" t="s">
        <v>241</v>
      </c>
      <c r="B32" s="11"/>
      <c r="C32" s="78">
        <v>0</v>
      </c>
      <c r="D32" s="76"/>
      <c r="E32" s="78">
        <v>0</v>
      </c>
      <c r="F32" s="76"/>
      <c r="G32" s="78">
        <v>0</v>
      </c>
      <c r="H32" s="78">
        <f t="shared" si="0"/>
        <v>0</v>
      </c>
      <c r="I32" s="76"/>
      <c r="J32" s="76"/>
      <c r="L32" s="79">
        <f>H32-I32+J32</f>
        <v>0</v>
      </c>
    </row>
    <row r="33" spans="1:12" ht="15">
      <c r="A33" s="86"/>
      <c r="B33" s="11"/>
      <c r="C33" s="76">
        <f>SUM(C31:C32)</f>
        <v>8636748.879999999</v>
      </c>
      <c r="D33" s="76"/>
      <c r="E33" s="76">
        <f>SUM(E31:E32)</f>
        <v>41402.149999999354</v>
      </c>
      <c r="F33" s="76"/>
      <c r="G33" s="76">
        <f>SUM(G31:G32)</f>
        <v>26116.940000000013</v>
      </c>
      <c r="H33" s="76">
        <f t="shared" si="0"/>
        <v>8704267.969999997</v>
      </c>
      <c r="I33" s="76"/>
      <c r="J33" s="76"/>
      <c r="L33" s="21">
        <f>SUM(L31:L32)</f>
        <v>8612847.350000001</v>
      </c>
    </row>
    <row r="34" spans="1:12" ht="15">
      <c r="A34" s="87" t="s">
        <v>242</v>
      </c>
      <c r="C34" s="76">
        <v>64347102.17</v>
      </c>
      <c r="D34" s="76"/>
      <c r="E34" s="76">
        <v>35790.7</v>
      </c>
      <c r="F34" s="76"/>
      <c r="G34" s="76">
        <v>15283.57</v>
      </c>
      <c r="H34" s="76">
        <f t="shared" si="0"/>
        <v>64398176.440000005</v>
      </c>
      <c r="I34" s="76">
        <f>299486+182841.24*4</f>
        <v>1030850.96</v>
      </c>
      <c r="J34" s="76"/>
      <c r="L34" s="21">
        <f>H34-I34+J34</f>
        <v>63367325.480000004</v>
      </c>
    </row>
    <row r="35" spans="1:12" ht="15.75" thickBot="1">
      <c r="A35" s="14" t="s">
        <v>243</v>
      </c>
      <c r="C35" s="88">
        <f>SUM(C33:C34)</f>
        <v>72983851.05</v>
      </c>
      <c r="D35" s="81"/>
      <c r="E35" s="88">
        <f>SUM(E33:E34)</f>
        <v>77192.84999999935</v>
      </c>
      <c r="F35" s="76"/>
      <c r="G35" s="88">
        <f>SUM(G33:G34)</f>
        <v>41400.51000000001</v>
      </c>
      <c r="H35" s="88">
        <f t="shared" si="0"/>
        <v>73102444.41</v>
      </c>
      <c r="I35" s="76"/>
      <c r="J35" s="76"/>
      <c r="L35" s="40">
        <f>SUM(L33:L34)</f>
        <v>71980172.83000001</v>
      </c>
    </row>
    <row r="36" spans="1:12" ht="15.75" thickTop="1">
      <c r="A36" s="14"/>
      <c r="C36" s="76"/>
      <c r="D36" s="76"/>
      <c r="E36" s="76"/>
      <c r="F36" s="76"/>
      <c r="G36" s="76"/>
      <c r="H36" s="76"/>
      <c r="I36" s="76"/>
      <c r="J36" s="76"/>
      <c r="L36" s="21"/>
    </row>
    <row r="37" spans="1:12" ht="15">
      <c r="A37" s="14"/>
      <c r="L37" s="21"/>
    </row>
    <row r="38" spans="1:12" ht="15">
      <c r="A38" s="14"/>
      <c r="L38" s="21"/>
    </row>
    <row r="39" spans="1:12" ht="15">
      <c r="A39" s="14"/>
      <c r="L39" s="21"/>
    </row>
    <row r="40" spans="1:12" ht="15">
      <c r="A40" s="14"/>
      <c r="L40" s="21"/>
    </row>
    <row r="41" spans="1:12" ht="15">
      <c r="A41" s="14"/>
      <c r="L41" s="21"/>
    </row>
    <row r="42" spans="1:12" ht="15">
      <c r="A42" s="14"/>
      <c r="L42" s="21"/>
    </row>
    <row r="43" spans="1:12" ht="15">
      <c r="A43" s="14"/>
      <c r="L43" s="21"/>
    </row>
    <row r="44" spans="1:12" ht="15">
      <c r="A44" s="14"/>
      <c r="L44" s="21"/>
    </row>
    <row r="45" spans="1:12" ht="15">
      <c r="A45" s="14"/>
      <c r="L45" s="21"/>
    </row>
    <row r="46" spans="1:12" ht="15">
      <c r="A46" s="14"/>
      <c r="L46" s="21"/>
    </row>
    <row r="47" spans="1:12" ht="15">
      <c r="A47" s="14"/>
      <c r="L47" s="21"/>
    </row>
    <row r="48" spans="1:12" ht="15">
      <c r="A48" s="14"/>
      <c r="L48" s="21"/>
    </row>
    <row r="49" spans="1:12" ht="15">
      <c r="A49" s="14"/>
      <c r="L49" s="21"/>
    </row>
    <row r="50" spans="1:12" ht="15">
      <c r="A50" s="14"/>
      <c r="L50" s="21"/>
    </row>
    <row r="51" spans="1:12" ht="15">
      <c r="A51" s="14"/>
      <c r="L51" s="21"/>
    </row>
    <row r="52" spans="1:12" ht="15">
      <c r="A52" s="14"/>
      <c r="L52" s="21"/>
    </row>
    <row r="53" spans="1:12" ht="15">
      <c r="A53" s="14"/>
      <c r="L53" s="21"/>
    </row>
    <row r="54" spans="1:12" ht="15">
      <c r="A54" s="14"/>
      <c r="L54" s="21"/>
    </row>
    <row r="55" spans="1:12" ht="15">
      <c r="A55" s="14"/>
      <c r="L55" s="21"/>
    </row>
    <row r="56" spans="1:12" ht="15">
      <c r="A56" s="14"/>
      <c r="L56" s="21"/>
    </row>
    <row r="57" spans="1:12" ht="15">
      <c r="A57" s="14"/>
      <c r="L57" s="21"/>
    </row>
    <row r="58" spans="1:12" ht="15">
      <c r="A58" s="14"/>
      <c r="L58" s="21"/>
    </row>
    <row r="59" spans="1:12" ht="15">
      <c r="A59" s="14"/>
      <c r="L59" s="21"/>
    </row>
    <row r="60" spans="1:12" ht="15">
      <c r="A60" s="14"/>
      <c r="L60" s="21"/>
    </row>
    <row r="61" spans="1:12" ht="15">
      <c r="A61" s="14"/>
      <c r="L61" s="21"/>
    </row>
    <row r="62" spans="1:12" ht="15">
      <c r="A62" s="14"/>
      <c r="L62" s="21"/>
    </row>
    <row r="63" spans="1:12" ht="15">
      <c r="A63" s="14"/>
      <c r="L63" s="21"/>
    </row>
    <row r="64" spans="1:12" ht="15">
      <c r="A64" s="14"/>
      <c r="L64" s="21"/>
    </row>
    <row r="65" spans="1:12" ht="15">
      <c r="A65" s="14"/>
      <c r="L65" s="21"/>
    </row>
    <row r="66" spans="1:12" ht="15">
      <c r="A66" s="14"/>
      <c r="L66" s="21"/>
    </row>
    <row r="67" spans="1:12" ht="15">
      <c r="A67" s="14"/>
      <c r="L67" s="21"/>
    </row>
    <row r="68" spans="1:12" ht="15">
      <c r="A68" s="14"/>
      <c r="L68" s="21"/>
    </row>
    <row r="69" spans="1:12" ht="15">
      <c r="A69" s="14"/>
      <c r="L69" s="21"/>
    </row>
    <row r="70" spans="1:12" ht="15">
      <c r="A70" s="14"/>
      <c r="L70" s="21"/>
    </row>
    <row r="71" spans="1:12" ht="15">
      <c r="A71" s="14"/>
      <c r="L71" s="21"/>
    </row>
    <row r="72" spans="1:12" ht="15">
      <c r="A72" s="14"/>
      <c r="L72" s="21"/>
    </row>
    <row r="73" spans="1:12" ht="15">
      <c r="A73" s="14"/>
      <c r="L73" s="21"/>
    </row>
    <row r="74" spans="1:12" ht="15">
      <c r="A74" s="14"/>
      <c r="L74" s="21"/>
    </row>
    <row r="75" spans="1:12" ht="15">
      <c r="A75" s="14"/>
      <c r="L75" s="21"/>
    </row>
    <row r="76" spans="1:12" ht="15">
      <c r="A76" s="14"/>
      <c r="L76" s="21"/>
    </row>
    <row r="77" spans="1:12" ht="15">
      <c r="A77" s="14"/>
      <c r="L77" s="21"/>
    </row>
    <row r="78" spans="1:12" ht="15">
      <c r="A78" s="14"/>
      <c r="L78" s="21"/>
    </row>
    <row r="79" spans="1:12" ht="15">
      <c r="A79" s="14"/>
      <c r="L79" s="21"/>
    </row>
    <row r="80" spans="1:12" ht="15">
      <c r="A80" s="14"/>
      <c r="L80" s="21"/>
    </row>
    <row r="81" spans="1:12" ht="15">
      <c r="A81" s="14"/>
      <c r="L81" s="21"/>
    </row>
    <row r="82" spans="1:12" ht="15">
      <c r="A82" s="14"/>
      <c r="L82" s="21"/>
    </row>
    <row r="83" spans="1:12" ht="15">
      <c r="A83" s="14"/>
      <c r="L83" s="21"/>
    </row>
    <row r="84" spans="1:12" ht="15">
      <c r="A84" s="14"/>
      <c r="L84" s="21"/>
    </row>
    <row r="85" spans="1:12" ht="15">
      <c r="A85" s="14"/>
      <c r="L85" s="21"/>
    </row>
    <row r="86" spans="1:12" ht="15">
      <c r="A86" s="14"/>
      <c r="L86" s="21"/>
    </row>
    <row r="87" spans="1:12" ht="15">
      <c r="A87" s="14"/>
      <c r="L87" s="21"/>
    </row>
    <row r="88" spans="1:12" ht="15">
      <c r="A88" s="14"/>
      <c r="L88" s="21"/>
    </row>
    <row r="89" spans="1:12" ht="15">
      <c r="A89" s="14"/>
      <c r="L89" s="21"/>
    </row>
    <row r="90" spans="1:12" ht="15">
      <c r="A90" s="14"/>
      <c r="L90" s="21"/>
    </row>
    <row r="91" spans="1:12" ht="15">
      <c r="A91" s="14"/>
      <c r="L91" s="21"/>
    </row>
    <row r="92" spans="1:12" ht="15">
      <c r="A92" s="14"/>
      <c r="L92" s="21"/>
    </row>
    <row r="93" spans="1:12" ht="15">
      <c r="A93" s="14"/>
      <c r="L93" s="21"/>
    </row>
    <row r="94" spans="1:12" ht="15">
      <c r="A94" s="14"/>
      <c r="L94" s="21"/>
    </row>
    <row r="95" spans="1:12" ht="15">
      <c r="A95" s="14"/>
      <c r="L95" s="21"/>
    </row>
    <row r="96" spans="1:12" ht="15">
      <c r="A96" s="14"/>
      <c r="L96" s="21"/>
    </row>
    <row r="97" spans="1:12" ht="15">
      <c r="A97" s="14"/>
      <c r="L97" s="21"/>
    </row>
    <row r="98" spans="1:12" ht="15">
      <c r="A98" s="14"/>
      <c r="L98" s="21"/>
    </row>
    <row r="99" spans="1:12" ht="15">
      <c r="A99" s="14"/>
      <c r="L99" s="21"/>
    </row>
    <row r="100" spans="1:12" ht="15">
      <c r="A100" s="14"/>
      <c r="L100" s="21"/>
    </row>
    <row r="101" spans="1:12" ht="15">
      <c r="A101" s="14"/>
      <c r="L101" s="21"/>
    </row>
    <row r="102" spans="1:12" ht="15">
      <c r="A102" s="14"/>
      <c r="L102" s="21"/>
    </row>
    <row r="103" spans="1:12" ht="15">
      <c r="A103" s="14"/>
      <c r="L103" s="21"/>
    </row>
    <row r="104" spans="1:12" ht="15">
      <c r="A104" s="14"/>
      <c r="L104" s="21"/>
    </row>
    <row r="105" spans="1:12" ht="15">
      <c r="A105" s="14"/>
      <c r="L105" s="21"/>
    </row>
    <row r="106" spans="1:12" ht="15">
      <c r="A106" s="14"/>
      <c r="L106" s="21"/>
    </row>
    <row r="107" spans="1:12" ht="15">
      <c r="A107" s="14"/>
      <c r="L107" s="21"/>
    </row>
    <row r="108" spans="1:12" ht="15">
      <c r="A108" s="14"/>
      <c r="L108" s="21"/>
    </row>
    <row r="109" spans="1:12" ht="15">
      <c r="A109" s="14"/>
      <c r="L109" s="21"/>
    </row>
    <row r="110" spans="1:12" ht="15">
      <c r="A110" s="14"/>
      <c r="L110" s="21"/>
    </row>
    <row r="111" spans="1:12" ht="15">
      <c r="A111" s="14"/>
      <c r="L111" s="21"/>
    </row>
    <row r="112" spans="1:12" ht="15">
      <c r="A112" s="14"/>
      <c r="L112" s="21"/>
    </row>
    <row r="113" spans="1:12" ht="15">
      <c r="A113" s="14"/>
      <c r="L113" s="21"/>
    </row>
    <row r="114" spans="1:12" ht="15">
      <c r="A114" s="14"/>
      <c r="L114" s="21"/>
    </row>
    <row r="115" spans="1:12" ht="15">
      <c r="A115" s="14"/>
      <c r="L115" s="21"/>
    </row>
    <row r="116" spans="1:12" ht="15">
      <c r="A116" s="14"/>
      <c r="L116" s="21"/>
    </row>
    <row r="117" spans="1:12" ht="15">
      <c r="A117" s="14"/>
      <c r="L117" s="21"/>
    </row>
    <row r="118" spans="1:12" ht="15">
      <c r="A118" s="14"/>
      <c r="L118" s="21"/>
    </row>
    <row r="119" spans="1:12" ht="15">
      <c r="A119" s="14"/>
      <c r="L119" s="21"/>
    </row>
    <row r="120" spans="1:12" ht="15">
      <c r="A120" s="14"/>
      <c r="L120" s="21"/>
    </row>
    <row r="121" spans="1:12" ht="15">
      <c r="A121" s="14"/>
      <c r="L121" s="21"/>
    </row>
    <row r="122" spans="1:12" ht="15">
      <c r="A122" s="14"/>
      <c r="L122" s="21"/>
    </row>
    <row r="123" spans="1:12" ht="15">
      <c r="A123" s="14"/>
      <c r="L123" s="21"/>
    </row>
    <row r="124" spans="1:12" ht="15">
      <c r="A124" s="14"/>
      <c r="L124" s="21"/>
    </row>
    <row r="125" spans="1:12" ht="15">
      <c r="A125" s="14"/>
      <c r="L125" s="21"/>
    </row>
    <row r="126" spans="1:12" ht="15">
      <c r="A126" s="14"/>
      <c r="L126" s="21"/>
    </row>
    <row r="127" spans="1:12" ht="15">
      <c r="A127" s="14"/>
      <c r="L127" s="21"/>
    </row>
    <row r="128" spans="1:12" ht="15">
      <c r="A128" s="14"/>
      <c r="L128" s="21"/>
    </row>
    <row r="129" spans="1:12" ht="15">
      <c r="A129" s="14"/>
      <c r="L129" s="21"/>
    </row>
    <row r="130" spans="1:12" ht="15">
      <c r="A130" s="14"/>
      <c r="L130" s="21"/>
    </row>
    <row r="131" spans="1:12" ht="15">
      <c r="A131" s="14"/>
      <c r="L131" s="21"/>
    </row>
    <row r="132" spans="1:12" ht="15">
      <c r="A132" s="14"/>
      <c r="L132" s="21"/>
    </row>
    <row r="133" spans="1:12" ht="15">
      <c r="A133" s="14"/>
      <c r="L133" s="21"/>
    </row>
    <row r="134" spans="1:12" ht="15">
      <c r="A134" s="14"/>
      <c r="L134" s="21"/>
    </row>
    <row r="135" spans="1:12" ht="15">
      <c r="A135" s="14"/>
      <c r="L135" s="21"/>
    </row>
    <row r="136" spans="1:12" ht="15">
      <c r="A136" s="14"/>
      <c r="L136" s="21"/>
    </row>
    <row r="137" spans="1:12" ht="15">
      <c r="A137" s="14"/>
      <c r="L137" s="21"/>
    </row>
    <row r="138" spans="1:12" ht="15">
      <c r="A138" s="14"/>
      <c r="L138" s="21"/>
    </row>
    <row r="139" spans="1:12" ht="15">
      <c r="A139" s="14"/>
      <c r="L139" s="21"/>
    </row>
    <row r="140" spans="1:12" ht="15">
      <c r="A140" s="14"/>
      <c r="L140" s="21"/>
    </row>
    <row r="141" spans="1:12" ht="15">
      <c r="A141" s="14"/>
      <c r="L141" s="21"/>
    </row>
    <row r="142" spans="1:12" ht="15">
      <c r="A142" s="14"/>
      <c r="L142" s="21"/>
    </row>
    <row r="143" spans="1:12" ht="15">
      <c r="A143" s="14"/>
      <c r="L143" s="21"/>
    </row>
    <row r="144" spans="1:12" ht="15">
      <c r="A144" s="14"/>
      <c r="L144" s="21"/>
    </row>
    <row r="145" spans="1:12" ht="15">
      <c r="A145" s="14"/>
      <c r="L145" s="21"/>
    </row>
    <row r="146" spans="1:12" ht="15">
      <c r="A146" s="14"/>
      <c r="L146" s="21"/>
    </row>
    <row r="147" spans="1:12" ht="15">
      <c r="A147" s="14"/>
      <c r="L147" s="21"/>
    </row>
    <row r="148" spans="1:12" ht="15">
      <c r="A148" s="14"/>
      <c r="L148" s="21"/>
    </row>
    <row r="149" spans="1:12" ht="15">
      <c r="A149" s="14"/>
      <c r="L149" s="21"/>
    </row>
    <row r="150" spans="1:12" ht="15">
      <c r="A150" s="14"/>
      <c r="L150" s="21"/>
    </row>
    <row r="151" spans="1:12" ht="15">
      <c r="A151" s="14"/>
      <c r="L151" s="21"/>
    </row>
    <row r="152" spans="1:12" ht="15">
      <c r="A152" s="14"/>
      <c r="L152" s="21"/>
    </row>
    <row r="153" spans="1:12" ht="15">
      <c r="A153" s="14"/>
      <c r="L153" s="21"/>
    </row>
    <row r="154" spans="1:12" ht="15">
      <c r="A154" s="14"/>
      <c r="L154" s="21"/>
    </row>
    <row r="155" spans="1:12" ht="15">
      <c r="A155" s="14"/>
      <c r="L155" s="21"/>
    </row>
    <row r="156" spans="1:12" ht="15">
      <c r="A156" s="14"/>
      <c r="L156" s="21"/>
    </row>
    <row r="157" spans="1:12" ht="15">
      <c r="A157" s="14"/>
      <c r="L157" s="21"/>
    </row>
    <row r="158" spans="1:12" ht="15">
      <c r="A158" s="14"/>
      <c r="L158" s="21"/>
    </row>
    <row r="159" spans="1:12" ht="15">
      <c r="A159" s="14"/>
      <c r="L159" s="21"/>
    </row>
    <row r="160" spans="1:12" ht="15">
      <c r="A160" s="14"/>
      <c r="L160" s="21"/>
    </row>
    <row r="161" spans="1:12" ht="15">
      <c r="A161" s="14"/>
      <c r="L161" s="21"/>
    </row>
    <row r="162" spans="1:12" ht="15">
      <c r="A162" s="14"/>
      <c r="L162" s="21"/>
    </row>
    <row r="163" spans="1:12" ht="15">
      <c r="A163" s="14"/>
      <c r="L163" s="21"/>
    </row>
    <row r="164" spans="1:12" ht="15">
      <c r="A164" s="14"/>
      <c r="L164" s="21"/>
    </row>
    <row r="165" spans="1:12" ht="15">
      <c r="A165" s="14"/>
      <c r="L165" s="21"/>
    </row>
    <row r="166" spans="1:12" ht="15">
      <c r="A166" s="14"/>
      <c r="L166" s="21"/>
    </row>
    <row r="167" spans="1:12" ht="15">
      <c r="A167" s="14"/>
      <c r="L167" s="21"/>
    </row>
    <row r="168" spans="1:12" ht="15">
      <c r="A168" s="14"/>
      <c r="L168" s="21"/>
    </row>
    <row r="169" spans="1:12" ht="15">
      <c r="A169" s="14"/>
      <c r="L169" s="21"/>
    </row>
    <row r="170" spans="1:12" ht="15">
      <c r="A170" s="14"/>
      <c r="L170" s="21"/>
    </row>
    <row r="171" spans="1:12" ht="15">
      <c r="A171" s="14"/>
      <c r="L171" s="21"/>
    </row>
    <row r="172" spans="1:12" ht="15">
      <c r="A172" s="14"/>
      <c r="L172" s="21"/>
    </row>
    <row r="173" spans="1:12" ht="15">
      <c r="A173" s="14"/>
      <c r="L173" s="21"/>
    </row>
    <row r="174" spans="1:12" ht="15">
      <c r="A174" s="14"/>
      <c r="L174" s="21"/>
    </row>
    <row r="175" spans="1:12" ht="15">
      <c r="A175" s="14"/>
      <c r="L175" s="21"/>
    </row>
    <row r="176" spans="1:12" ht="15">
      <c r="A176" s="14"/>
      <c r="L176" s="21"/>
    </row>
    <row r="177" spans="1:12" ht="15">
      <c r="A177" s="14"/>
      <c r="L177" s="21"/>
    </row>
    <row r="178" spans="1:12" ht="15">
      <c r="A178" s="14"/>
      <c r="L178" s="21"/>
    </row>
    <row r="179" spans="1:12" ht="15">
      <c r="A179" s="14"/>
      <c r="L179" s="21"/>
    </row>
    <row r="180" spans="1:12" ht="15">
      <c r="A180" s="14"/>
      <c r="L180" s="21"/>
    </row>
    <row r="181" spans="1:12" ht="15">
      <c r="A181" s="14"/>
      <c r="L181" s="21"/>
    </row>
    <row r="182" spans="1:12" ht="15">
      <c r="A182" s="14"/>
      <c r="L182" s="21"/>
    </row>
    <row r="183" spans="1:12" ht="15">
      <c r="A183" s="14"/>
      <c r="L183" s="21"/>
    </row>
    <row r="184" spans="1:12" ht="15">
      <c r="A184" s="14"/>
      <c r="L184" s="21"/>
    </row>
    <row r="185" spans="1:12" ht="15">
      <c r="A185" s="14"/>
      <c r="L185" s="21"/>
    </row>
    <row r="186" spans="1:12" ht="15">
      <c r="A186" s="14"/>
      <c r="L186" s="21"/>
    </row>
    <row r="187" spans="1:12" ht="15">
      <c r="A187" s="14"/>
      <c r="L187" s="21"/>
    </row>
    <row r="188" spans="1:12" ht="15">
      <c r="A188" s="14"/>
      <c r="L188" s="21"/>
    </row>
    <row r="189" spans="1:12" ht="15">
      <c r="A189" s="14"/>
      <c r="L189" s="21"/>
    </row>
    <row r="190" spans="1:12" ht="15">
      <c r="A190" s="14"/>
      <c r="L190" s="21"/>
    </row>
    <row r="191" spans="1:12" ht="15">
      <c r="A191" s="14"/>
      <c r="L191" s="21"/>
    </row>
    <row r="192" spans="1:12" ht="15">
      <c r="A192" s="14"/>
      <c r="L192" s="21"/>
    </row>
    <row r="193" spans="1:12" ht="15">
      <c r="A193" s="14"/>
      <c r="L193" s="21"/>
    </row>
    <row r="194" spans="1:12" ht="15">
      <c r="A194" s="14"/>
      <c r="L194" s="21"/>
    </row>
    <row r="195" spans="1:12" ht="15">
      <c r="A195" s="14"/>
      <c r="L195" s="21"/>
    </row>
    <row r="196" spans="1:12" ht="15">
      <c r="A196" s="14"/>
      <c r="L196" s="21"/>
    </row>
    <row r="197" spans="1:12" ht="15">
      <c r="A197" s="14"/>
      <c r="L197" s="21"/>
    </row>
    <row r="198" spans="1:12" ht="15">
      <c r="A198" s="14"/>
      <c r="L198" s="21"/>
    </row>
    <row r="199" spans="1:12" ht="15">
      <c r="A199" s="14"/>
      <c r="L199" s="21"/>
    </row>
    <row r="200" spans="1:12" ht="15">
      <c r="A200" s="14"/>
      <c r="L200" s="21"/>
    </row>
    <row r="201" ht="15">
      <c r="L201" s="21"/>
    </row>
    <row r="202" ht="15">
      <c r="L202" s="21"/>
    </row>
    <row r="203" ht="15">
      <c r="L203" s="21"/>
    </row>
    <row r="204" ht="15">
      <c r="L204" s="21"/>
    </row>
    <row r="205" ht="15">
      <c r="L205" s="21"/>
    </row>
    <row r="206" ht="15">
      <c r="L206" s="21"/>
    </row>
    <row r="207" ht="15">
      <c r="L207" s="21"/>
    </row>
    <row r="208" ht="15">
      <c r="L208" s="21"/>
    </row>
    <row r="209" ht="15">
      <c r="L209" s="21"/>
    </row>
    <row r="210" ht="15">
      <c r="L210" s="21"/>
    </row>
    <row r="211" ht="15">
      <c r="L211" s="21"/>
    </row>
    <row r="212" ht="15">
      <c r="L212" s="21"/>
    </row>
    <row r="213" ht="15">
      <c r="L213" s="21"/>
    </row>
    <row r="214" ht="15">
      <c r="L214" s="21"/>
    </row>
    <row r="215" ht="15">
      <c r="L215" s="21"/>
    </row>
    <row r="216" ht="15">
      <c r="L216" s="21"/>
    </row>
    <row r="217" ht="15">
      <c r="L217" s="21"/>
    </row>
    <row r="218" ht="15">
      <c r="L218" s="21"/>
    </row>
    <row r="219" ht="15">
      <c r="L219" s="21"/>
    </row>
    <row r="220" ht="15">
      <c r="L220" s="21"/>
    </row>
    <row r="221" ht="15">
      <c r="L221" s="21"/>
    </row>
    <row r="222" ht="15">
      <c r="L222" s="21"/>
    </row>
    <row r="223" ht="15">
      <c r="L223" s="21"/>
    </row>
    <row r="224" ht="15">
      <c r="L224" s="21"/>
    </row>
    <row r="225" ht="15">
      <c r="L225" s="21"/>
    </row>
    <row r="226" ht="15">
      <c r="L226" s="21"/>
    </row>
    <row r="227" ht="15">
      <c r="L227" s="21"/>
    </row>
    <row r="228" ht="15">
      <c r="L228" s="21"/>
    </row>
    <row r="229" ht="15">
      <c r="L229" s="21"/>
    </row>
    <row r="230" ht="15">
      <c r="L230" s="21"/>
    </row>
    <row r="231" ht="15">
      <c r="L231" s="21"/>
    </row>
    <row r="232" ht="15">
      <c r="L232" s="21"/>
    </row>
    <row r="233" ht="15">
      <c r="L233" s="21"/>
    </row>
    <row r="234" ht="15">
      <c r="L234" s="21"/>
    </row>
    <row r="235" ht="15">
      <c r="L235" s="21"/>
    </row>
    <row r="236" ht="15">
      <c r="L236" s="21"/>
    </row>
    <row r="237" ht="15">
      <c r="L237" s="21"/>
    </row>
    <row r="238" ht="15">
      <c r="L238" s="21"/>
    </row>
    <row r="239" ht="15">
      <c r="L239" s="21"/>
    </row>
    <row r="240" ht="15">
      <c r="L240" s="21"/>
    </row>
    <row r="241" ht="15">
      <c r="L241" s="21"/>
    </row>
    <row r="242" ht="15">
      <c r="L242" s="21"/>
    </row>
    <row r="243" ht="15">
      <c r="L243" s="21"/>
    </row>
    <row r="244" ht="15">
      <c r="L244" s="21"/>
    </row>
    <row r="245" ht="15">
      <c r="L245" s="21"/>
    </row>
    <row r="246" ht="15">
      <c r="L246" s="21"/>
    </row>
    <row r="247" ht="15">
      <c r="L247" s="21"/>
    </row>
    <row r="248" ht="15">
      <c r="L248" s="21"/>
    </row>
    <row r="249" ht="15">
      <c r="L249" s="21"/>
    </row>
    <row r="250" ht="15">
      <c r="L250" s="21"/>
    </row>
    <row r="251" ht="15">
      <c r="L251" s="21"/>
    </row>
    <row r="252" ht="15">
      <c r="L252" s="21"/>
    </row>
    <row r="253" ht="15">
      <c r="L253" s="21"/>
    </row>
    <row r="254" ht="15">
      <c r="L254" s="21"/>
    </row>
    <row r="255" ht="15">
      <c r="L255" s="21"/>
    </row>
    <row r="256" ht="15">
      <c r="L256" s="21"/>
    </row>
    <row r="257" ht="15">
      <c r="L257" s="21"/>
    </row>
    <row r="258" ht="15">
      <c r="L258" s="21"/>
    </row>
    <row r="259" ht="15">
      <c r="L259" s="21"/>
    </row>
    <row r="260" ht="15">
      <c r="L260" s="21"/>
    </row>
    <row r="261" ht="15">
      <c r="L261" s="21"/>
    </row>
    <row r="262" ht="15">
      <c r="L262" s="21"/>
    </row>
    <row r="263" ht="15">
      <c r="L263" s="21"/>
    </row>
    <row r="264" ht="15">
      <c r="L264" s="21"/>
    </row>
    <row r="265" ht="15">
      <c r="L265" s="21"/>
    </row>
    <row r="266" ht="15">
      <c r="L266" s="21"/>
    </row>
    <row r="267" ht="15">
      <c r="L267" s="21"/>
    </row>
    <row r="268" ht="15">
      <c r="L268" s="21"/>
    </row>
    <row r="269" ht="15">
      <c r="L269" s="21"/>
    </row>
    <row r="270" ht="15">
      <c r="L270" s="21"/>
    </row>
    <row r="271" ht="15">
      <c r="L271" s="21"/>
    </row>
    <row r="272" ht="15">
      <c r="L272" s="21"/>
    </row>
    <row r="273" ht="15">
      <c r="L273" s="21"/>
    </row>
    <row r="274" ht="15">
      <c r="L274" s="21"/>
    </row>
    <row r="275" ht="15">
      <c r="L275" s="21"/>
    </row>
    <row r="276" ht="15">
      <c r="L276" s="21"/>
    </row>
    <row r="277" ht="15">
      <c r="L277" s="21"/>
    </row>
    <row r="278" ht="15">
      <c r="L278" s="21"/>
    </row>
    <row r="279" ht="15">
      <c r="L279" s="21"/>
    </row>
    <row r="280" ht="15">
      <c r="L280" s="21"/>
    </row>
    <row r="281" ht="15">
      <c r="L281" s="21"/>
    </row>
    <row r="282" ht="15">
      <c r="L282" s="21"/>
    </row>
    <row r="283" ht="15">
      <c r="L283" s="21"/>
    </row>
    <row r="284" ht="15">
      <c r="L284" s="21"/>
    </row>
    <row r="285" ht="15">
      <c r="L285" s="21"/>
    </row>
    <row r="286" ht="15">
      <c r="L286" s="21"/>
    </row>
    <row r="287" ht="15">
      <c r="L287" s="21"/>
    </row>
    <row r="288" ht="15">
      <c r="L288" s="21"/>
    </row>
    <row r="289" ht="15">
      <c r="L289" s="21"/>
    </row>
    <row r="290" ht="15">
      <c r="L290" s="21"/>
    </row>
    <row r="291" ht="15">
      <c r="L291" s="21"/>
    </row>
    <row r="292" ht="15">
      <c r="L292" s="21"/>
    </row>
    <row r="293" ht="15">
      <c r="L293" s="21"/>
    </row>
    <row r="294" ht="15">
      <c r="L294" s="21"/>
    </row>
    <row r="295" ht="15">
      <c r="L295" s="21"/>
    </row>
    <row r="296" ht="15">
      <c r="L296" s="21"/>
    </row>
    <row r="297" ht="15">
      <c r="L297" s="21"/>
    </row>
    <row r="298" ht="15">
      <c r="L298" s="21"/>
    </row>
    <row r="299" ht="15">
      <c r="L299" s="21"/>
    </row>
    <row r="300" ht="15">
      <c r="L300" s="21"/>
    </row>
    <row r="301" ht="15">
      <c r="L301" s="21"/>
    </row>
    <row r="302" ht="15">
      <c r="L302" s="21"/>
    </row>
    <row r="303" ht="15">
      <c r="L303" s="21"/>
    </row>
    <row r="304" ht="15">
      <c r="L304" s="21"/>
    </row>
    <row r="305" ht="15">
      <c r="L305" s="21"/>
    </row>
    <row r="306" ht="15">
      <c r="L306" s="21"/>
    </row>
    <row r="307" ht="15">
      <c r="L307" s="21"/>
    </row>
    <row r="308" ht="15">
      <c r="L308" s="21"/>
    </row>
    <row r="309" ht="15">
      <c r="L309" s="21"/>
    </row>
    <row r="310" ht="15">
      <c r="L310" s="21"/>
    </row>
    <row r="311" ht="15">
      <c r="L311" s="21"/>
    </row>
  </sheetData>
  <printOptions/>
  <pageMargins left="0.35433070866141736" right="0.15748031496062992" top="1.3779527559055118" bottom="0.7874015748031497" header="0.5118110236220472" footer="0.5118110236220472"/>
  <pageSetup horizontalDpi="180" verticalDpi="18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0" zoomScaleNormal="90" workbookViewId="0" topLeftCell="F30">
      <selection activeCell="J30" sqref="J30"/>
    </sheetView>
  </sheetViews>
  <sheetFormatPr defaultColWidth="9.00390625" defaultRowHeight="15.75"/>
  <cols>
    <col min="1" max="1" width="36.75390625" style="0" customWidth="1"/>
    <col min="2" max="2" width="16.00390625" style="0" customWidth="1"/>
    <col min="3" max="3" width="15.00390625" style="0" customWidth="1"/>
    <col min="4" max="4" width="14.625" style="0" customWidth="1"/>
    <col min="5" max="5" width="16.50390625" style="0" customWidth="1"/>
    <col min="6" max="6" width="15.25390625" style="0" customWidth="1"/>
    <col min="7" max="7" width="15.75390625" style="0" customWidth="1"/>
    <col min="8" max="8" width="2.625" style="89" customWidth="1"/>
    <col min="9" max="9" width="13.875" style="0" customWidth="1"/>
    <col min="10" max="10" width="3.00390625" style="90" customWidth="1"/>
    <col min="11" max="11" width="14.00390625" style="0" customWidth="1"/>
    <col min="12" max="12" width="2.25390625" style="0" customWidth="1"/>
    <col min="13" max="13" width="15.375" style="0" customWidth="1"/>
  </cols>
  <sheetData>
    <row r="1" ht="15.75">
      <c r="A1" s="11" t="s">
        <v>0</v>
      </c>
    </row>
    <row r="2" ht="15.75">
      <c r="A2" s="25" t="s">
        <v>245</v>
      </c>
    </row>
    <row r="4" spans="2:13" s="14" customFormat="1" ht="12.75">
      <c r="B4" s="91" t="s">
        <v>215</v>
      </c>
      <c r="C4" s="92" t="s">
        <v>246</v>
      </c>
      <c r="D4" s="91" t="s">
        <v>247</v>
      </c>
      <c r="E4" s="91" t="s">
        <v>216</v>
      </c>
      <c r="F4" s="91" t="s">
        <v>248</v>
      </c>
      <c r="G4" s="93" t="s">
        <v>218</v>
      </c>
      <c r="H4" s="93"/>
      <c r="I4" s="94" t="s">
        <v>249</v>
      </c>
      <c r="J4" s="94"/>
      <c r="K4" s="93"/>
      <c r="M4" s="93" t="s">
        <v>250</v>
      </c>
    </row>
    <row r="5" spans="2:13" ht="15.75">
      <c r="B5" s="24" t="s">
        <v>251</v>
      </c>
      <c r="C5" s="24"/>
      <c r="D5" s="24"/>
      <c r="E5" s="24" t="s">
        <v>251</v>
      </c>
      <c r="F5" s="24" t="s">
        <v>251</v>
      </c>
      <c r="G5" s="24" t="s">
        <v>251</v>
      </c>
      <c r="I5" s="24" t="s">
        <v>251</v>
      </c>
      <c r="J5" s="89"/>
      <c r="K5" s="24" t="s">
        <v>251</v>
      </c>
      <c r="L5" s="24"/>
      <c r="M5" s="24" t="s">
        <v>251</v>
      </c>
    </row>
    <row r="6" spans="2:13" ht="15.75">
      <c r="B6" s="24"/>
      <c r="C6" s="24"/>
      <c r="D6" s="24"/>
      <c r="E6" s="24"/>
      <c r="F6" s="24"/>
      <c r="G6" s="20"/>
      <c r="I6" s="20" t="s">
        <v>252</v>
      </c>
      <c r="J6" s="95"/>
      <c r="K6" s="96" t="s">
        <v>253</v>
      </c>
      <c r="L6" s="24"/>
      <c r="M6" s="24"/>
    </row>
    <row r="7" spans="1:16" ht="15.75">
      <c r="A7" s="11" t="s">
        <v>254</v>
      </c>
      <c r="B7" s="41">
        <v>184078921.85</v>
      </c>
      <c r="C7" s="41">
        <v>0</v>
      </c>
      <c r="D7" s="41">
        <v>0</v>
      </c>
      <c r="E7" s="41">
        <f>17263491.82-250003</f>
        <v>17013488.82</v>
      </c>
      <c r="F7" s="41">
        <v>9405.72</v>
      </c>
      <c r="G7" s="41">
        <f>SUM(B7:F7)</f>
        <v>201101816.39</v>
      </c>
      <c r="H7" s="97" t="s">
        <v>255</v>
      </c>
      <c r="I7" s="41">
        <v>3839666</v>
      </c>
      <c r="J7" s="98" t="s">
        <v>256</v>
      </c>
      <c r="K7" s="41">
        <f>182841.24*4+45710.31*2</f>
        <v>822785.58</v>
      </c>
      <c r="L7" s="41"/>
      <c r="M7" s="41">
        <f>G7+I7-K7</f>
        <v>204118696.80999997</v>
      </c>
      <c r="N7" s="41"/>
      <c r="O7" s="41"/>
      <c r="P7" s="41"/>
    </row>
    <row r="8" spans="1:16" ht="15.75">
      <c r="A8" s="11" t="s">
        <v>257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f>SUM(B8:F8)</f>
        <v>0</v>
      </c>
      <c r="H8" s="97"/>
      <c r="I8" s="41"/>
      <c r="J8" s="98"/>
      <c r="K8" s="41"/>
      <c r="L8" s="41"/>
      <c r="M8" s="41">
        <f>G8+I8-K8</f>
        <v>0</v>
      </c>
      <c r="N8" s="41"/>
      <c r="O8" s="41"/>
      <c r="P8" s="41"/>
    </row>
    <row r="9" spans="1:16" ht="15.75">
      <c r="A9" s="5"/>
      <c r="B9" s="41"/>
      <c r="C9" s="41"/>
      <c r="D9" s="41"/>
      <c r="E9" s="41"/>
      <c r="F9" s="41"/>
      <c r="G9" s="41"/>
      <c r="H9" s="97"/>
      <c r="I9" s="41"/>
      <c r="J9" s="98"/>
      <c r="K9" s="41"/>
      <c r="L9" s="41"/>
      <c r="M9" s="41"/>
      <c r="N9" s="41"/>
      <c r="O9" s="41"/>
      <c r="P9" s="41"/>
    </row>
    <row r="10" spans="1:16" ht="15.75">
      <c r="A10" s="11" t="s">
        <v>258</v>
      </c>
      <c r="B10" s="41">
        <v>35000000</v>
      </c>
      <c r="C10" s="41">
        <v>3.8</v>
      </c>
      <c r="D10" s="41">
        <v>9503.8</v>
      </c>
      <c r="E10" s="41">
        <v>250003</v>
      </c>
      <c r="F10" s="41">
        <v>0</v>
      </c>
      <c r="G10" s="41">
        <f>SUM(B10:F10)</f>
        <v>35259510.599999994</v>
      </c>
      <c r="H10" s="97"/>
      <c r="I10" s="41"/>
      <c r="J10" s="98" t="s">
        <v>259</v>
      </c>
      <c r="K10" s="41">
        <f>SUM(G10)</f>
        <v>35259510.599999994</v>
      </c>
      <c r="L10" s="41"/>
      <c r="M10" s="41">
        <f>G10+I10-K10</f>
        <v>0</v>
      </c>
      <c r="N10" s="41"/>
      <c r="O10" s="41"/>
      <c r="P10" s="41"/>
    </row>
    <row r="11" spans="1:16" ht="15.75">
      <c r="A11" s="5"/>
      <c r="B11" s="41"/>
      <c r="C11" s="41"/>
      <c r="D11" s="41"/>
      <c r="E11" s="41"/>
      <c r="F11" s="41"/>
      <c r="G11" s="41"/>
      <c r="H11" s="97"/>
      <c r="I11" s="41"/>
      <c r="J11" s="98"/>
      <c r="K11" s="41"/>
      <c r="L11" s="41"/>
      <c r="M11" s="41"/>
      <c r="N11" s="41"/>
      <c r="O11" s="41"/>
      <c r="P11" s="41"/>
    </row>
    <row r="12" spans="1:16" ht="15.75">
      <c r="A12" s="13" t="s">
        <v>260</v>
      </c>
      <c r="B12" s="41"/>
      <c r="C12" s="41"/>
      <c r="D12" s="41"/>
      <c r="E12" s="41"/>
      <c r="F12" s="41"/>
      <c r="G12" s="41"/>
      <c r="H12" s="97"/>
      <c r="I12" s="41"/>
      <c r="J12" s="98"/>
      <c r="K12" s="41"/>
      <c r="L12" s="41"/>
      <c r="M12" s="41"/>
      <c r="N12" s="41"/>
      <c r="O12" s="41"/>
      <c r="P12" s="41"/>
    </row>
    <row r="13" spans="1:16" ht="15.75">
      <c r="A13" s="5" t="s">
        <v>261</v>
      </c>
      <c r="B13" s="41">
        <v>35931488.96</v>
      </c>
      <c r="C13" s="41">
        <v>0</v>
      </c>
      <c r="D13" s="41">
        <v>0</v>
      </c>
      <c r="E13" s="41">
        <v>0</v>
      </c>
      <c r="F13" s="41">
        <v>0</v>
      </c>
      <c r="G13" s="41">
        <f>SUM(B13:F13)</f>
        <v>35931488.96</v>
      </c>
      <c r="H13" s="97"/>
      <c r="I13" s="41"/>
      <c r="J13" s="98"/>
      <c r="K13" s="41"/>
      <c r="L13" s="41"/>
      <c r="M13" s="41">
        <f>G13+I13-K13</f>
        <v>35931488.96</v>
      </c>
      <c r="N13" s="41"/>
      <c r="O13" s="41"/>
      <c r="P13" s="41"/>
    </row>
    <row r="14" spans="1:16" ht="15.75">
      <c r="A14" s="45" t="s">
        <v>262</v>
      </c>
      <c r="B14" s="41">
        <v>99726368.26</v>
      </c>
      <c r="C14" s="41">
        <v>0</v>
      </c>
      <c r="D14" s="41">
        <v>0</v>
      </c>
      <c r="E14" s="41">
        <v>0</v>
      </c>
      <c r="F14" s="41">
        <v>0</v>
      </c>
      <c r="G14" s="41">
        <f>SUM(B14:F14)</f>
        <v>99726368.26</v>
      </c>
      <c r="H14" s="97"/>
      <c r="I14" s="41"/>
      <c r="J14" s="98"/>
      <c r="K14" s="41"/>
      <c r="L14" s="41"/>
      <c r="M14" s="41">
        <f>G14+I14-K14</f>
        <v>99726368.26</v>
      </c>
      <c r="N14" s="41"/>
      <c r="O14" s="41"/>
      <c r="P14" s="41"/>
    </row>
    <row r="15" spans="1:16" ht="15.75">
      <c r="A15" s="5" t="s">
        <v>263</v>
      </c>
      <c r="B15" s="41">
        <f>10350929.55-5650</f>
        <v>10345279.55</v>
      </c>
      <c r="C15" s="41">
        <v>0</v>
      </c>
      <c r="D15" s="41">
        <v>0</v>
      </c>
      <c r="E15" s="41">
        <v>47831</v>
      </c>
      <c r="F15" s="41">
        <v>0</v>
      </c>
      <c r="G15" s="41">
        <f>SUM(B15:F15)</f>
        <v>10393110.55</v>
      </c>
      <c r="H15" s="97"/>
      <c r="I15" s="41"/>
      <c r="J15" s="98"/>
      <c r="K15" s="41"/>
      <c r="L15" s="41"/>
      <c r="M15" s="41">
        <f>G15+I15-K15</f>
        <v>10393110.55</v>
      </c>
      <c r="N15" s="41"/>
      <c r="O15" s="41"/>
      <c r="P15" s="41"/>
    </row>
    <row r="16" spans="1:16" ht="15.75">
      <c r="A16" s="5" t="s">
        <v>264</v>
      </c>
      <c r="B16" s="41">
        <f>3659765.71+5650</f>
        <v>3665415.71</v>
      </c>
      <c r="C16" s="41">
        <v>0</v>
      </c>
      <c r="D16" s="41">
        <v>0</v>
      </c>
      <c r="E16" s="41">
        <v>0</v>
      </c>
      <c r="F16" s="41">
        <f>272442.38-5650+150000</f>
        <v>416792.38</v>
      </c>
      <c r="G16" s="41">
        <f>SUM(B16:F16)</f>
        <v>4082208.09</v>
      </c>
      <c r="H16" s="97"/>
      <c r="I16" s="41"/>
      <c r="J16" s="98" t="s">
        <v>265</v>
      </c>
      <c r="K16" s="41">
        <f>G16</f>
        <v>4082208.09</v>
      </c>
      <c r="L16" s="41"/>
      <c r="M16" s="41">
        <f>G16+I16-K16</f>
        <v>0</v>
      </c>
      <c r="N16" s="41"/>
      <c r="O16" s="41"/>
      <c r="P16" s="41"/>
    </row>
    <row r="17" spans="1:16" ht="15.75">
      <c r="A17" s="5" t="s">
        <v>266</v>
      </c>
      <c r="B17" s="41">
        <v>1840446.58</v>
      </c>
      <c r="C17" s="41">
        <v>0</v>
      </c>
      <c r="D17" s="41">
        <v>0</v>
      </c>
      <c r="E17" s="41">
        <v>0</v>
      </c>
      <c r="F17" s="41">
        <v>0</v>
      </c>
      <c r="G17" s="41">
        <f>SUM(B17:F17)</f>
        <v>1840446.58</v>
      </c>
      <c r="H17" s="97"/>
      <c r="I17" s="41"/>
      <c r="J17" s="98"/>
      <c r="K17" s="41"/>
      <c r="L17" s="41"/>
      <c r="M17" s="41">
        <f>G17+I17-K17</f>
        <v>1840446.58</v>
      </c>
      <c r="N17" s="41"/>
      <c r="O17" s="41"/>
      <c r="P17" s="41"/>
    </row>
    <row r="18" spans="1:16" ht="15.75">
      <c r="A18" s="5" t="s">
        <v>267</v>
      </c>
      <c r="B18" s="41"/>
      <c r="C18" s="41"/>
      <c r="D18" s="41"/>
      <c r="E18" s="41"/>
      <c r="F18" s="41"/>
      <c r="G18" s="41"/>
      <c r="H18" s="97"/>
      <c r="I18" s="41"/>
      <c r="J18" s="98"/>
      <c r="K18" s="41"/>
      <c r="L18" s="41"/>
      <c r="M18" s="41"/>
      <c r="N18" s="41"/>
      <c r="O18" s="41"/>
      <c r="P18" s="41"/>
    </row>
    <row r="19" spans="1:16" ht="15.75">
      <c r="A19" s="5" t="s">
        <v>268</v>
      </c>
      <c r="B19" s="41">
        <v>25541.76</v>
      </c>
      <c r="C19" s="41">
        <v>12500000</v>
      </c>
      <c r="D19" s="41">
        <v>12500000</v>
      </c>
      <c r="E19" s="41">
        <v>236.17</v>
      </c>
      <c r="F19" s="41">
        <v>11274.83</v>
      </c>
      <c r="G19" s="41">
        <f>SUM(B19:F19)</f>
        <v>25037052.759999998</v>
      </c>
      <c r="H19" s="97"/>
      <c r="I19" s="41"/>
      <c r="J19" s="98"/>
      <c r="K19" s="41"/>
      <c r="L19" s="41"/>
      <c r="M19" s="41">
        <f>G19+I19-K19</f>
        <v>25037052.759999998</v>
      </c>
      <c r="N19" s="41"/>
      <c r="O19" s="41"/>
      <c r="P19" s="41"/>
    </row>
    <row r="20" spans="1:16" ht="16.5" thickBot="1">
      <c r="A20" s="5"/>
      <c r="B20" s="99">
        <f aca="true" t="shared" si="0" ref="B20:G20">SUM(B13:B19)</f>
        <v>151534540.82000002</v>
      </c>
      <c r="C20" s="99">
        <f t="shared" si="0"/>
        <v>12500000</v>
      </c>
      <c r="D20" s="99">
        <f t="shared" si="0"/>
        <v>12500000</v>
      </c>
      <c r="E20" s="99">
        <f t="shared" si="0"/>
        <v>48067.17</v>
      </c>
      <c r="F20" s="99">
        <f t="shared" si="0"/>
        <v>428067.21</v>
      </c>
      <c r="G20" s="99">
        <f t="shared" si="0"/>
        <v>177010675.20000002</v>
      </c>
      <c r="H20" s="100"/>
      <c r="I20" s="101"/>
      <c r="J20" s="102"/>
      <c r="K20" s="101"/>
      <c r="L20" s="101"/>
      <c r="M20" s="99">
        <f>SUM(M13:M19)</f>
        <v>172928467.11</v>
      </c>
      <c r="N20" s="41"/>
      <c r="O20" s="41"/>
      <c r="P20" s="41"/>
    </row>
    <row r="21" spans="1:16" ht="16.5" thickTop="1">
      <c r="A21" s="103" t="s">
        <v>269</v>
      </c>
      <c r="B21" s="41"/>
      <c r="C21" s="41"/>
      <c r="D21" s="41"/>
      <c r="E21" s="41"/>
      <c r="F21" s="41"/>
      <c r="G21" s="41"/>
      <c r="H21" s="97"/>
      <c r="I21" s="41"/>
      <c r="J21" s="98"/>
      <c r="K21" s="41"/>
      <c r="L21" s="41"/>
      <c r="M21" s="41"/>
      <c r="N21" s="41"/>
      <c r="O21" s="41"/>
      <c r="P21" s="41"/>
    </row>
    <row r="22" spans="1:16" ht="15.75">
      <c r="A22" s="5" t="s">
        <v>270</v>
      </c>
      <c r="B22" s="41">
        <v>5553043.09</v>
      </c>
      <c r="C22" s="41">
        <v>0</v>
      </c>
      <c r="D22" s="41">
        <v>0</v>
      </c>
      <c r="E22" s="41">
        <v>44491.94</v>
      </c>
      <c r="F22" s="41">
        <v>73595.1</v>
      </c>
      <c r="G22" s="41">
        <f aca="true" t="shared" si="1" ref="G22:G30">SUM(B22:F22)</f>
        <v>5671130.13</v>
      </c>
      <c r="H22" s="97"/>
      <c r="I22" s="41"/>
      <c r="J22" s="98"/>
      <c r="K22" s="41"/>
      <c r="L22" s="41"/>
      <c r="M22" s="41">
        <f aca="true" t="shared" si="2" ref="M22:M30">G22-I22+K22</f>
        <v>5671130.13</v>
      </c>
      <c r="N22" s="41"/>
      <c r="O22" s="41"/>
      <c r="P22" s="41"/>
    </row>
    <row r="23" spans="1:16" ht="15.75">
      <c r="A23" s="5" t="s">
        <v>271</v>
      </c>
      <c r="B23" s="41">
        <v>3361326.99</v>
      </c>
      <c r="C23" s="41">
        <v>0</v>
      </c>
      <c r="D23" s="41">
        <v>0</v>
      </c>
      <c r="E23" s="41">
        <v>78323.5</v>
      </c>
      <c r="F23" s="41">
        <v>51867.32</v>
      </c>
      <c r="G23" s="41">
        <f t="shared" si="1"/>
        <v>3491517.81</v>
      </c>
      <c r="H23" s="97"/>
      <c r="I23" s="41"/>
      <c r="J23" s="98"/>
      <c r="K23" s="41"/>
      <c r="L23" s="41"/>
      <c r="M23" s="41">
        <f t="shared" si="2"/>
        <v>3491517.81</v>
      </c>
      <c r="N23" s="41"/>
      <c r="O23" s="41"/>
      <c r="P23" s="41"/>
    </row>
    <row r="24" spans="1:16" ht="15.75">
      <c r="A24" s="5" t="s">
        <v>272</v>
      </c>
      <c r="B24" s="41">
        <v>2600000</v>
      </c>
      <c r="C24" s="41">
        <v>0</v>
      </c>
      <c r="D24" s="41">
        <v>0</v>
      </c>
      <c r="E24" s="41">
        <v>0</v>
      </c>
      <c r="F24" s="41">
        <v>0</v>
      </c>
      <c r="G24" s="41">
        <f t="shared" si="1"/>
        <v>2600000</v>
      </c>
      <c r="H24" s="97"/>
      <c r="I24" s="41"/>
      <c r="J24" s="98"/>
      <c r="K24" s="41"/>
      <c r="L24" s="41"/>
      <c r="M24" s="41">
        <f t="shared" si="2"/>
        <v>2600000</v>
      </c>
      <c r="N24" s="41"/>
      <c r="O24" s="41"/>
      <c r="P24" s="41"/>
    </row>
    <row r="25" spans="1:16" ht="15.75">
      <c r="A25" s="5" t="s">
        <v>273</v>
      </c>
      <c r="B25" s="104">
        <v>1519980.24</v>
      </c>
      <c r="C25" s="41">
        <v>0</v>
      </c>
      <c r="D25" s="41">
        <v>0</v>
      </c>
      <c r="E25" s="41">
        <v>0</v>
      </c>
      <c r="F25" s="41">
        <v>0</v>
      </c>
      <c r="G25" s="41">
        <f t="shared" si="1"/>
        <v>1519980.24</v>
      </c>
      <c r="H25" s="97"/>
      <c r="I25" s="41"/>
      <c r="J25" s="98"/>
      <c r="K25" s="41"/>
      <c r="L25" s="41"/>
      <c r="M25" s="41">
        <f t="shared" si="2"/>
        <v>1519980.24</v>
      </c>
      <c r="N25" s="41"/>
      <c r="O25" s="41"/>
      <c r="P25" s="41"/>
    </row>
    <row r="26" spans="1:16" ht="15.75">
      <c r="A26" s="5" t="s">
        <v>274</v>
      </c>
      <c r="B26" s="41">
        <v>24268000</v>
      </c>
      <c r="C26" s="41">
        <v>0</v>
      </c>
      <c r="D26" s="41">
        <v>0</v>
      </c>
      <c r="E26" s="41">
        <v>2432000</v>
      </c>
      <c r="F26" s="41">
        <v>0</v>
      </c>
      <c r="G26" s="41">
        <f t="shared" si="1"/>
        <v>26700000</v>
      </c>
      <c r="H26" s="97"/>
      <c r="I26" s="41"/>
      <c r="J26" s="98"/>
      <c r="K26" s="41"/>
      <c r="L26" s="41"/>
      <c r="M26" s="41">
        <f t="shared" si="2"/>
        <v>26700000</v>
      </c>
      <c r="N26" s="41"/>
      <c r="O26" s="41"/>
      <c r="P26" s="41"/>
    </row>
    <row r="27" spans="1:16" ht="15.75">
      <c r="A27" s="5" t="s">
        <v>275</v>
      </c>
      <c r="B27" s="41">
        <v>30226643.11</v>
      </c>
      <c r="C27" s="41">
        <v>0</v>
      </c>
      <c r="D27" s="41">
        <v>0</v>
      </c>
      <c r="E27" s="41">
        <f>3800110.61-99999.72</f>
        <v>3700110.8899999997</v>
      </c>
      <c r="F27" s="41">
        <v>0</v>
      </c>
      <c r="G27" s="41">
        <f t="shared" si="1"/>
        <v>33926754</v>
      </c>
      <c r="H27" s="97"/>
      <c r="I27" s="41"/>
      <c r="J27" s="98"/>
      <c r="K27" s="41"/>
      <c r="L27" s="41"/>
      <c r="M27" s="41">
        <f t="shared" si="2"/>
        <v>33926754</v>
      </c>
      <c r="N27" s="41"/>
      <c r="O27" s="41"/>
      <c r="P27" s="41"/>
    </row>
    <row r="28" spans="1:16" ht="15.75">
      <c r="A28" s="5" t="s">
        <v>239</v>
      </c>
      <c r="B28" s="41">
        <v>0</v>
      </c>
      <c r="C28" s="41">
        <v>0</v>
      </c>
      <c r="D28" s="41">
        <v>0</v>
      </c>
      <c r="E28" s="41">
        <v>0</v>
      </c>
      <c r="F28" s="41">
        <v>20607</v>
      </c>
      <c r="G28" s="41">
        <f t="shared" si="1"/>
        <v>20607</v>
      </c>
      <c r="H28" s="97"/>
      <c r="I28" s="41"/>
      <c r="J28" s="98"/>
      <c r="K28" s="41"/>
      <c r="L28" s="41"/>
      <c r="M28" s="41">
        <f t="shared" si="2"/>
        <v>20607</v>
      </c>
      <c r="N28" s="41"/>
      <c r="O28" s="41"/>
      <c r="P28" s="41"/>
    </row>
    <row r="29" spans="1:16" ht="15.75">
      <c r="A29" s="5" t="s">
        <v>276</v>
      </c>
      <c r="B29" s="41">
        <v>0</v>
      </c>
      <c r="C29" s="41">
        <v>12500000</v>
      </c>
      <c r="D29" s="41">
        <v>12500000</v>
      </c>
      <c r="E29" s="41">
        <v>0</v>
      </c>
      <c r="F29" s="41">
        <v>0</v>
      </c>
      <c r="G29" s="41">
        <f t="shared" si="1"/>
        <v>25000000</v>
      </c>
      <c r="H29" s="97"/>
      <c r="I29" s="41">
        <f>G29</f>
        <v>25000000</v>
      </c>
      <c r="J29" s="98"/>
      <c r="K29" s="41"/>
      <c r="L29" s="41"/>
      <c r="M29" s="41">
        <f t="shared" si="2"/>
        <v>0</v>
      </c>
      <c r="N29" s="41"/>
      <c r="O29" s="41"/>
      <c r="P29" s="41"/>
    </row>
    <row r="30" spans="1:16" ht="15.75">
      <c r="A30" s="5" t="s">
        <v>277</v>
      </c>
      <c r="B30" s="41">
        <v>0</v>
      </c>
      <c r="C30" s="41">
        <v>0</v>
      </c>
      <c r="D30" s="41">
        <v>0</v>
      </c>
      <c r="E30" s="41">
        <f>3659765.71+422442.38</f>
        <v>4082208.09</v>
      </c>
      <c r="F30" s="41">
        <v>0</v>
      </c>
      <c r="G30" s="41">
        <f t="shared" si="1"/>
        <v>4082208.09</v>
      </c>
      <c r="H30" s="97" t="s">
        <v>265</v>
      </c>
      <c r="I30" s="41">
        <f>G30</f>
        <v>4082208.09</v>
      </c>
      <c r="J30" s="98"/>
      <c r="K30" s="41">
        <v>0</v>
      </c>
      <c r="L30" s="41"/>
      <c r="M30" s="41">
        <f t="shared" si="2"/>
        <v>0</v>
      </c>
      <c r="N30" s="41"/>
      <c r="O30" s="41"/>
      <c r="P30" s="41"/>
    </row>
    <row r="31" spans="1:16" ht="16.5" thickBot="1">
      <c r="A31" s="5"/>
      <c r="B31" s="99">
        <f aca="true" t="shared" si="3" ref="B31:G31">SUM(B22:B30)</f>
        <v>67528993.43</v>
      </c>
      <c r="C31" s="99">
        <f t="shared" si="3"/>
        <v>12500000</v>
      </c>
      <c r="D31" s="99">
        <f t="shared" si="3"/>
        <v>12500000</v>
      </c>
      <c r="E31" s="99">
        <f t="shared" si="3"/>
        <v>10337134.42</v>
      </c>
      <c r="F31" s="99">
        <f t="shared" si="3"/>
        <v>146069.42</v>
      </c>
      <c r="G31" s="99">
        <f t="shared" si="3"/>
        <v>103012197.27000001</v>
      </c>
      <c r="H31" s="100"/>
      <c r="I31" s="101"/>
      <c r="J31" s="102"/>
      <c r="K31" s="101"/>
      <c r="L31" s="101"/>
      <c r="M31" s="99">
        <f>SUM(M22:M30)</f>
        <v>73929989.18</v>
      </c>
      <c r="N31" s="41"/>
      <c r="O31" s="41"/>
      <c r="P31" s="41"/>
    </row>
    <row r="32" spans="1:16" ht="16.5" thickTop="1">
      <c r="A32" s="5"/>
      <c r="B32" s="41"/>
      <c r="C32" s="41"/>
      <c r="D32" s="41"/>
      <c r="E32" s="41"/>
      <c r="F32" s="41"/>
      <c r="G32" s="41"/>
      <c r="H32" s="97"/>
      <c r="I32" s="41"/>
      <c r="J32" s="98"/>
      <c r="K32" s="41"/>
      <c r="L32" s="41"/>
      <c r="M32" s="41"/>
      <c r="N32" s="41"/>
      <c r="O32" s="41"/>
      <c r="P32" s="41"/>
    </row>
    <row r="33" spans="1:16" ht="15.75">
      <c r="A33" s="5" t="s">
        <v>278</v>
      </c>
      <c r="B33" s="41">
        <f>B20-B31</f>
        <v>84005547.39000002</v>
      </c>
      <c r="C33" s="41">
        <f>C20-C31</f>
        <v>0</v>
      </c>
      <c r="D33" s="41">
        <f>D20-D31</f>
        <v>0</v>
      </c>
      <c r="E33" s="41">
        <f>E20-E31</f>
        <v>-10289067.25</v>
      </c>
      <c r="F33" s="41">
        <f>F20-F31</f>
        <v>281997.79000000004</v>
      </c>
      <c r="G33" s="41">
        <f>SUM(B33:F33)</f>
        <v>73998477.93000002</v>
      </c>
      <c r="H33" s="97"/>
      <c r="I33" s="41"/>
      <c r="J33" s="98"/>
      <c r="K33" s="41"/>
      <c r="L33" s="41"/>
      <c r="M33" s="41">
        <f>M20-M31</f>
        <v>98998477.93</v>
      </c>
      <c r="N33" s="41"/>
      <c r="O33" s="41"/>
      <c r="P33" s="41"/>
    </row>
    <row r="34" spans="1:16" ht="15.75">
      <c r="A34" s="5"/>
      <c r="B34" s="41"/>
      <c r="C34" s="41"/>
      <c r="D34" s="41"/>
      <c r="E34" s="41"/>
      <c r="F34" s="41"/>
      <c r="G34" s="41"/>
      <c r="H34" s="97"/>
      <c r="I34" s="41"/>
      <c r="J34" s="98"/>
      <c r="K34" s="41"/>
      <c r="L34" s="41"/>
      <c r="M34" s="41"/>
      <c r="N34" s="41"/>
      <c r="O34" s="41"/>
      <c r="P34" s="41"/>
    </row>
    <row r="35" spans="1:16" ht="16.5" thickBot="1">
      <c r="A35" s="5"/>
      <c r="B35" s="105">
        <f>B33+B7+B10</f>
        <v>303084469.24</v>
      </c>
      <c r="C35" s="105">
        <f>C33+C7+C10</f>
        <v>3.8</v>
      </c>
      <c r="D35" s="105">
        <f>D33+D7+D10</f>
        <v>9503.8</v>
      </c>
      <c r="E35" s="105">
        <f>E33+E7+E8+E10</f>
        <v>6974424.57</v>
      </c>
      <c r="F35" s="105">
        <f>F33+F7+F8+F10</f>
        <v>291403.51</v>
      </c>
      <c r="G35" s="105">
        <f>SUM(B35:F35)</f>
        <v>310359804.92</v>
      </c>
      <c r="H35" s="100"/>
      <c r="I35" s="41"/>
      <c r="J35" s="98"/>
      <c r="K35" s="41"/>
      <c r="L35" s="41"/>
      <c r="M35" s="105">
        <f>M33+M7+M8</f>
        <v>303117174.74</v>
      </c>
      <c r="N35" s="41"/>
      <c r="O35" s="41"/>
      <c r="P35" s="41"/>
    </row>
    <row r="36" spans="1:16" ht="16.5" thickTop="1">
      <c r="A36" s="5"/>
      <c r="B36" s="41"/>
      <c r="C36" s="41"/>
      <c r="D36" s="41"/>
      <c r="E36" s="41"/>
      <c r="F36" s="41"/>
      <c r="G36" s="41"/>
      <c r="H36" s="97"/>
      <c r="I36" s="41"/>
      <c r="J36" s="98"/>
      <c r="K36" s="41"/>
      <c r="L36" s="41"/>
      <c r="M36" s="41"/>
      <c r="N36" s="41"/>
      <c r="O36" s="41"/>
      <c r="P36" s="41"/>
    </row>
    <row r="37" spans="1:16" ht="15.75">
      <c r="A37" s="31" t="s">
        <v>279</v>
      </c>
      <c r="B37" s="41"/>
      <c r="C37" s="41"/>
      <c r="D37" s="41"/>
      <c r="E37" s="41"/>
      <c r="F37" s="41"/>
      <c r="G37" s="41"/>
      <c r="H37" s="97"/>
      <c r="I37" s="41"/>
      <c r="J37" s="98"/>
      <c r="K37" s="41"/>
      <c r="L37" s="41"/>
      <c r="M37" s="41"/>
      <c r="N37" s="41"/>
      <c r="O37" s="41"/>
      <c r="P37" s="41"/>
    </row>
    <row r="38" spans="1:16" ht="15.75">
      <c r="A38" s="45" t="s">
        <v>280</v>
      </c>
      <c r="B38" s="41">
        <v>156000000</v>
      </c>
      <c r="C38" s="41">
        <v>3.8</v>
      </c>
      <c r="D38" s="41">
        <v>9503.8</v>
      </c>
      <c r="E38" s="41">
        <f>6000000</f>
        <v>6000000</v>
      </c>
      <c r="F38" s="41">
        <v>250003</v>
      </c>
      <c r="G38" s="41">
        <f>SUM(B38:F38)</f>
        <v>162259510.60000002</v>
      </c>
      <c r="H38" s="97" t="s">
        <v>259</v>
      </c>
      <c r="I38" s="41">
        <f>6100003+150000+9507.6</f>
        <v>6259510.6</v>
      </c>
      <c r="J38" s="98"/>
      <c r="K38" s="41"/>
      <c r="L38" s="41"/>
      <c r="M38" s="101">
        <f>G38-I38+K38</f>
        <v>156000000.00000003</v>
      </c>
      <c r="N38" s="41"/>
      <c r="O38" s="41"/>
      <c r="P38" s="41"/>
    </row>
    <row r="39" spans="1:16" ht="15.75">
      <c r="A39" s="5" t="s">
        <v>281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f>SUM(B39:F39)</f>
        <v>0</v>
      </c>
      <c r="H39" s="97"/>
      <c r="I39" s="41"/>
      <c r="J39" s="98"/>
      <c r="K39" s="41"/>
      <c r="L39" s="41"/>
      <c r="M39" s="101">
        <f>G39-I39+K39</f>
        <v>0</v>
      </c>
      <c r="N39" s="41"/>
      <c r="O39" s="41"/>
      <c r="P39" s="41"/>
    </row>
    <row r="40" spans="1:16" ht="15.75">
      <c r="A40" s="5" t="s">
        <v>282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f>SUM(B40:F40)</f>
        <v>0</v>
      </c>
      <c r="H40" s="97"/>
      <c r="I40" s="41"/>
      <c r="J40" s="98" t="s">
        <v>259</v>
      </c>
      <c r="K40" s="41">
        <v>139152</v>
      </c>
      <c r="L40" s="41"/>
      <c r="M40" s="101">
        <f>G40-I40+K40</f>
        <v>139152</v>
      </c>
      <c r="N40" s="41"/>
      <c r="O40" s="41"/>
      <c r="P40" s="41"/>
    </row>
    <row r="41" spans="1:16" ht="15.75">
      <c r="A41" s="5" t="s">
        <v>283</v>
      </c>
      <c r="B41" s="106">
        <f>64347102.17+8636748.88</f>
        <v>72983851.05</v>
      </c>
      <c r="C41" s="106">
        <v>0</v>
      </c>
      <c r="D41" s="106">
        <v>0</v>
      </c>
      <c r="E41" s="101">
        <f>35790.7+41402.15</f>
        <v>77192.85</v>
      </c>
      <c r="F41" s="101">
        <f>15283.57+26116.94</f>
        <v>41400.509999999995</v>
      </c>
      <c r="G41" s="101">
        <f>SUM(B41:F41)</f>
        <v>73102444.41</v>
      </c>
      <c r="H41" s="100" t="s">
        <v>256</v>
      </c>
      <c r="I41" s="41">
        <f>299486+182841.24*4+45710.31*2</f>
        <v>1122271.58</v>
      </c>
      <c r="J41" s="98"/>
      <c r="K41" s="41"/>
      <c r="L41" s="41"/>
      <c r="M41" s="101">
        <f>G41-I41+K41</f>
        <v>71980172.83</v>
      </c>
      <c r="N41" s="41"/>
      <c r="O41" s="41"/>
      <c r="P41" s="41"/>
    </row>
    <row r="42" spans="1:16" ht="15.75">
      <c r="A42" s="5"/>
      <c r="B42" s="107"/>
      <c r="C42" s="107"/>
      <c r="D42" s="107"/>
      <c r="E42" s="107"/>
      <c r="F42" s="107"/>
      <c r="G42" s="107"/>
      <c r="H42" s="100"/>
      <c r="I42" s="41"/>
      <c r="J42" s="98"/>
      <c r="K42" s="41"/>
      <c r="L42" s="41"/>
      <c r="M42" s="107"/>
      <c r="N42" s="41"/>
      <c r="O42" s="41"/>
      <c r="P42" s="41"/>
    </row>
    <row r="43" spans="1:16" ht="15.75">
      <c r="A43" s="5" t="s">
        <v>284</v>
      </c>
      <c r="B43" s="41">
        <f>SUM(B38:B41)</f>
        <v>228983851.05</v>
      </c>
      <c r="C43" s="41">
        <f>SUM(C38:C41)</f>
        <v>3.8</v>
      </c>
      <c r="D43" s="41">
        <f>SUM(D38:D41)</f>
        <v>9503.8</v>
      </c>
      <c r="E43" s="41">
        <f>SUM(E38:E41)</f>
        <v>6077192.85</v>
      </c>
      <c r="F43" s="41">
        <f>SUM(F38:F41)</f>
        <v>291403.51</v>
      </c>
      <c r="G43" s="101">
        <f>SUM(B43:F43)</f>
        <v>235361955.01000002</v>
      </c>
      <c r="H43" s="100"/>
      <c r="I43" s="41"/>
      <c r="J43" s="98"/>
      <c r="K43" s="41"/>
      <c r="L43" s="41"/>
      <c r="M43" s="101">
        <f>SUM(M38:M41)</f>
        <v>228119324.83000004</v>
      </c>
      <c r="N43" s="41"/>
      <c r="O43" s="41"/>
      <c r="P43" s="41"/>
    </row>
    <row r="44" spans="1:16" ht="15.75">
      <c r="A44" s="5"/>
      <c r="B44" s="41"/>
      <c r="C44" s="41"/>
      <c r="D44" s="41"/>
      <c r="E44" s="41"/>
      <c r="F44" s="41"/>
      <c r="G44" s="41"/>
      <c r="H44" s="97"/>
      <c r="I44" s="41"/>
      <c r="J44" s="98"/>
      <c r="K44" s="41"/>
      <c r="L44" s="41"/>
      <c r="M44" s="101"/>
      <c r="N44" s="41"/>
      <c r="O44" s="41"/>
      <c r="P44" s="41"/>
    </row>
    <row r="45" spans="1:16" ht="15.75">
      <c r="A45" s="5" t="s">
        <v>285</v>
      </c>
      <c r="B45" s="108">
        <f>6444900+65000000+2655718.19</f>
        <v>74100618.19</v>
      </c>
      <c r="C45" s="108">
        <v>0</v>
      </c>
      <c r="D45" s="108">
        <v>0</v>
      </c>
      <c r="E45" s="109">
        <v>99999.72</v>
      </c>
      <c r="F45" s="41">
        <v>0</v>
      </c>
      <c r="G45" s="101">
        <f>SUM(B45:F45)</f>
        <v>74200617.91</v>
      </c>
      <c r="H45" s="100"/>
      <c r="I45" s="41"/>
      <c r="J45" s="98"/>
      <c r="K45" s="41"/>
      <c r="L45" s="41"/>
      <c r="M45" s="101">
        <f>G45-I45+K45</f>
        <v>74200617.91</v>
      </c>
      <c r="N45" s="41"/>
      <c r="O45" s="41"/>
      <c r="P45" s="41"/>
    </row>
    <row r="46" spans="1:16" ht="15.75">
      <c r="A46" s="5" t="s">
        <v>286</v>
      </c>
      <c r="B46" s="108">
        <v>0</v>
      </c>
      <c r="C46" s="108">
        <v>0</v>
      </c>
      <c r="D46" s="108">
        <v>0</v>
      </c>
      <c r="E46" s="109">
        <v>797232</v>
      </c>
      <c r="F46" s="41">
        <v>0</v>
      </c>
      <c r="G46" s="101">
        <f>SUM(B46:F46)</f>
        <v>797232</v>
      </c>
      <c r="H46" s="100"/>
      <c r="I46" s="41"/>
      <c r="J46" s="98"/>
      <c r="K46" s="41"/>
      <c r="L46" s="41"/>
      <c r="M46" s="101">
        <f>G46-I46+K46</f>
        <v>797232</v>
      </c>
      <c r="N46" s="41"/>
      <c r="O46" s="41"/>
      <c r="P46" s="41"/>
    </row>
    <row r="47" spans="1:16" ht="16.5" thickBot="1">
      <c r="A47" s="5"/>
      <c r="B47" s="99">
        <f aca="true" t="shared" si="4" ref="B47:G47">SUM(B43:B46)</f>
        <v>303084469.24</v>
      </c>
      <c r="C47" s="99">
        <f t="shared" si="4"/>
        <v>3.8</v>
      </c>
      <c r="D47" s="99">
        <f t="shared" si="4"/>
        <v>9503.8</v>
      </c>
      <c r="E47" s="99">
        <f t="shared" si="4"/>
        <v>6974424.569999999</v>
      </c>
      <c r="F47" s="99">
        <f t="shared" si="4"/>
        <v>291403.51</v>
      </c>
      <c r="G47" s="99">
        <f t="shared" si="4"/>
        <v>310359804.92</v>
      </c>
      <c r="H47" s="100"/>
      <c r="I47" s="41"/>
      <c r="J47" s="98"/>
      <c r="K47" s="41"/>
      <c r="L47" s="41"/>
      <c r="M47" s="99">
        <f>SUM(M43:M46)</f>
        <v>303117174.74</v>
      </c>
      <c r="N47" s="41"/>
      <c r="O47" s="41"/>
      <c r="P47" s="41"/>
    </row>
    <row r="48" spans="1:16" ht="16.5" thickTop="1">
      <c r="A48" s="5"/>
      <c r="B48" s="41"/>
      <c r="C48" s="41"/>
      <c r="D48" s="41"/>
      <c r="E48" s="41"/>
      <c r="F48" s="41"/>
      <c r="G48" s="41"/>
      <c r="H48" s="97"/>
      <c r="I48" s="41"/>
      <c r="J48" s="98"/>
      <c r="K48" s="41"/>
      <c r="L48" s="41"/>
      <c r="M48" s="41"/>
      <c r="N48" s="41"/>
      <c r="O48" s="41"/>
      <c r="P48" s="41"/>
    </row>
    <row r="49" spans="1:16" ht="15.75">
      <c r="A49" s="5"/>
      <c r="B49" s="41"/>
      <c r="C49" s="41"/>
      <c r="D49" s="41"/>
      <c r="E49" s="41"/>
      <c r="F49" s="41"/>
      <c r="G49" s="41"/>
      <c r="H49" s="97"/>
      <c r="I49" s="41"/>
      <c r="J49" s="98"/>
      <c r="K49" s="41"/>
      <c r="L49" s="41"/>
      <c r="M49" s="41"/>
      <c r="N49" s="41"/>
      <c r="O49" s="41"/>
      <c r="P49" s="41"/>
    </row>
    <row r="50" spans="1:16" ht="15.75">
      <c r="A50" s="5"/>
      <c r="B50" s="41"/>
      <c r="C50" s="41"/>
      <c r="D50" s="41"/>
      <c r="E50" s="41"/>
      <c r="F50" s="41"/>
      <c r="G50" s="41"/>
      <c r="H50" s="97"/>
      <c r="I50" s="41"/>
      <c r="J50" s="98"/>
      <c r="K50" s="41"/>
      <c r="L50" s="41"/>
      <c r="M50" s="41"/>
      <c r="N50" s="41"/>
      <c r="O50" s="41"/>
      <c r="P50" s="41"/>
    </row>
    <row r="51" spans="1:16" ht="15.75">
      <c r="A51" s="5"/>
      <c r="B51" s="41"/>
      <c r="C51" s="41"/>
      <c r="D51" s="41"/>
      <c r="E51" s="41"/>
      <c r="F51" s="41"/>
      <c r="G51" s="41"/>
      <c r="H51" s="97"/>
      <c r="I51" s="41"/>
      <c r="J51" s="98"/>
      <c r="K51" s="41"/>
      <c r="L51" s="41"/>
      <c r="M51" s="41"/>
      <c r="N51" s="41"/>
      <c r="O51" s="41"/>
      <c r="P51" s="41"/>
    </row>
    <row r="52" spans="1:16" ht="15.75">
      <c r="A52" s="5"/>
      <c r="B52" s="41"/>
      <c r="C52" s="41"/>
      <c r="D52" s="41"/>
      <c r="E52" s="41"/>
      <c r="F52" s="41"/>
      <c r="G52" s="41"/>
      <c r="H52" s="97"/>
      <c r="I52" s="41"/>
      <c r="J52" s="98"/>
      <c r="K52" s="41"/>
      <c r="L52" s="41"/>
      <c r="M52" s="41"/>
      <c r="N52" s="41"/>
      <c r="O52" s="41"/>
      <c r="P52" s="41"/>
    </row>
    <row r="53" spans="1:16" ht="15.75">
      <c r="A53" s="5"/>
      <c r="B53" s="41"/>
      <c r="C53" s="41"/>
      <c r="D53" s="41"/>
      <c r="E53" s="41"/>
      <c r="F53" s="41"/>
      <c r="G53" s="41"/>
      <c r="H53" s="97"/>
      <c r="I53" s="41"/>
      <c r="J53" s="98"/>
      <c r="K53" s="41"/>
      <c r="L53" s="41"/>
      <c r="M53" s="41"/>
      <c r="N53" s="41"/>
      <c r="O53" s="41"/>
      <c r="P53" s="41"/>
    </row>
    <row r="54" spans="1:16" ht="15.75">
      <c r="A54" s="5"/>
      <c r="B54" s="41"/>
      <c r="C54" s="41"/>
      <c r="D54" s="41"/>
      <c r="E54" s="41"/>
      <c r="F54" s="41"/>
      <c r="G54" s="41"/>
      <c r="H54" s="97"/>
      <c r="I54" s="41"/>
      <c r="J54" s="98"/>
      <c r="K54" s="41"/>
      <c r="L54" s="41"/>
      <c r="M54" s="41"/>
      <c r="N54" s="41"/>
      <c r="O54" s="41"/>
      <c r="P54" s="41"/>
    </row>
    <row r="55" spans="1:16" ht="15.75">
      <c r="A55" s="5"/>
      <c r="B55" s="41"/>
      <c r="C55" s="41"/>
      <c r="D55" s="41"/>
      <c r="E55" s="41"/>
      <c r="F55" s="41"/>
      <c r="G55" s="41"/>
      <c r="H55" s="97"/>
      <c r="I55" s="41"/>
      <c r="J55" s="98"/>
      <c r="K55" s="41"/>
      <c r="L55" s="41"/>
      <c r="M55" s="41"/>
      <c r="N55" s="41"/>
      <c r="O55" s="41"/>
      <c r="P55" s="41"/>
    </row>
    <row r="56" spans="1:16" ht="15.75">
      <c r="A56" s="5"/>
      <c r="B56" s="41"/>
      <c r="C56" s="41"/>
      <c r="D56" s="41"/>
      <c r="E56" s="41"/>
      <c r="F56" s="41"/>
      <c r="G56" s="41"/>
      <c r="H56" s="97"/>
      <c r="I56" s="41"/>
      <c r="J56" s="98"/>
      <c r="K56" s="41"/>
      <c r="L56" s="41"/>
      <c r="M56" s="41"/>
      <c r="N56" s="41"/>
      <c r="O56" s="41"/>
      <c r="P56" s="41"/>
    </row>
    <row r="57" spans="1:16" ht="15.75">
      <c r="A57" s="5"/>
      <c r="B57" s="41"/>
      <c r="C57" s="41"/>
      <c r="D57" s="41"/>
      <c r="E57" s="41"/>
      <c r="F57" s="41"/>
      <c r="G57" s="41"/>
      <c r="H57" s="97"/>
      <c r="I57" s="41"/>
      <c r="J57" s="98"/>
      <c r="K57" s="41"/>
      <c r="L57" s="41"/>
      <c r="M57" s="41"/>
      <c r="N57" s="41"/>
      <c r="O57" s="41"/>
      <c r="P57" s="41"/>
    </row>
    <row r="58" spans="2:16" ht="15.75">
      <c r="B58" s="41"/>
      <c r="C58" s="41"/>
      <c r="D58" s="41"/>
      <c r="E58" s="41"/>
      <c r="F58" s="41"/>
      <c r="G58" s="41"/>
      <c r="H58" s="97"/>
      <c r="I58" s="41"/>
      <c r="J58" s="98"/>
      <c r="K58" s="41"/>
      <c r="L58" s="41"/>
      <c r="M58" s="41"/>
      <c r="N58" s="41"/>
      <c r="O58" s="41"/>
      <c r="P58" s="41"/>
    </row>
    <row r="59" spans="2:16" ht="15.75">
      <c r="B59" s="41"/>
      <c r="C59" s="41"/>
      <c r="D59" s="41"/>
      <c r="E59" s="41"/>
      <c r="F59" s="41"/>
      <c r="G59" s="41"/>
      <c r="H59" s="97"/>
      <c r="I59" s="41"/>
      <c r="J59" s="98"/>
      <c r="K59" s="41"/>
      <c r="L59" s="41"/>
      <c r="M59" s="41"/>
      <c r="N59" s="41"/>
      <c r="O59" s="41"/>
      <c r="P59" s="41"/>
    </row>
    <row r="60" spans="2:16" ht="15.75">
      <c r="B60" s="41"/>
      <c r="C60" s="41"/>
      <c r="D60" s="41"/>
      <c r="E60" s="41"/>
      <c r="F60" s="41"/>
      <c r="G60" s="41"/>
      <c r="H60" s="97"/>
      <c r="I60" s="41"/>
      <c r="J60" s="98"/>
      <c r="K60" s="41"/>
      <c r="L60" s="41"/>
      <c r="M60" s="41"/>
      <c r="N60" s="41"/>
      <c r="O60" s="41"/>
      <c r="P60" s="41"/>
    </row>
  </sheetData>
  <printOptions/>
  <pageMargins left="0" right="0.15748031496062992" top="0.9055118110236221" bottom="0.1968503937007874" header="0.11811023622047245" footer="0.11811023622047245"/>
  <pageSetup horizontalDpi="180" verticalDpi="18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Ernst &amp; Young</cp:lastModifiedBy>
  <cp:lastPrinted>2002-08-30T05:18:24Z</cp:lastPrinted>
  <dcterms:created xsi:type="dcterms:W3CDTF">2001-04-23T13:34:35Z</dcterms:created>
  <dcterms:modified xsi:type="dcterms:W3CDTF">2002-08-30T09:57:16Z</dcterms:modified>
  <cp:category/>
  <cp:version/>
  <cp:contentType/>
  <cp:contentStatus/>
</cp:coreProperties>
</file>